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ficial Manut.Predial" sheetId="1" r:id="rId4"/>
    <sheet state="visible" name="RESUMO" sheetId="2" r:id="rId5"/>
    <sheet state="visible" name="ANEXO V" sheetId="3" r:id="rId6"/>
  </sheets>
  <definedNames/>
  <calcPr/>
  <extLst>
    <ext uri="GoogleSheetsCustomDataVersion1">
      <go:sheetsCustomData xmlns:go="http://customooxmlschemas.google.com/" r:id="rId7" roundtripDataSignature="AMtx7mhFbibepk0oucabiyE+hi9b+JWXo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6">
      <text>
        <t xml:space="preserve">======
ID#AAAAL49AZUc
    (2021-03-29 17:03:43)
Previsto CCT, cláusula 23º</t>
      </text>
    </comment>
    <comment authorId="0" ref="D60">
      <text>
        <t xml:space="preserve">======
ID#AAAAL49AZUY
    (2021-03-29 17:03:43)
Riscos Ambientais do Trabalho = 1%, 2% ou 3%. Depende do CNAE (Classificação Nacional de Atividade Econômica) da empresa.</t>
      </text>
    </comment>
    <comment authorId="0" ref="G22">
      <text>
        <t xml:space="preserve">======
ID#AAAAL49AZUU
    (2021-03-29 17:03:43)
220 hs mensais 44 hs semanais
200 hs mensas 40 hs semanais
150 hs mensais 30 hs semanais
125 hs mensais 25 hs semanais</t>
      </text>
    </comment>
    <comment authorId="0" ref="F60">
      <text>
        <t xml:space="preserve">======
ID#AAAAL49AZUQ
Juliana Luizelli Alencastro    (2021-03-29 17:03:43)
Fator Acidentário de Prevenção (particular de cada empresa)</t>
      </text>
    </comment>
    <comment authorId="0" ref="B34">
      <text>
        <t xml:space="preserve">======
ID#AAAAL49AZUI
    (2021-03-29 17:03:43)
Facultativo - empresa tem que comprovar</t>
      </text>
    </comment>
    <comment authorId="0" ref="E23">
      <text>
        <t xml:space="preserve">======
ID#AAAAL49AZUE
    (2021-03-29 17:03:43)
MPOG = 20,8960 Dias para 40 h 5 dias por semana</t>
      </text>
    </comment>
    <comment authorId="0" ref="B35">
      <text>
        <t xml:space="preserve">======
ID#AAAAL49AZT8
    (2021-03-29 17:03:43)
Portaria MTb 3.296/86 depende do número de mulheres</t>
      </text>
    </comment>
    <comment authorId="0" ref="G60">
      <text>
        <t xml:space="preserve">======
ID#AAAAL49AZUA
    (2021-03-29 17:03:43)
vai de 0,5000 até 2,0000</t>
      </text>
    </comment>
    <comment authorId="0" ref="B32">
      <text>
        <t xml:space="preserve">======
ID#AAAAL49AZT4
    (2021-03-29 17:03:43)
Auxiliar Serviços Gerais com jornada diária MENOR ou IGUAL a 6 Horas NÃO recebe auxílio-alimentação, recebe Auxilio Lanche - R$ 8,71 - 19% desconto
Mais de 8 horas trabalhadas recebe Auxílio Alimentação - R$ 17,41 - 19%</t>
      </text>
    </comment>
    <comment authorId="0" ref="H24">
      <text>
        <t xml:space="preserve">======
ID#AAAAL49AZT0
    (2021-03-29 17:03:43)
CLÁUSULA DÉCIMA SÉTIMA do CCT - Adicional de insalubridade grau máximo</t>
      </text>
    </comment>
  </commentList>
  <extLst>
    <ext uri="GoogleSheetsCustomDataVersion1">
      <go:sheetsCustomData xmlns:go="http://customooxmlschemas.google.com/" r:id="rId1" roundtripDataSignature="AMtx7mgPirMvHRNvVhKQ8Dl+p+GvdDHiBg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9">
      <text>
        <t xml:space="preserve">======
ID#AAAAL49AZUM
Excelencia    (2021-03-29 17:03:43)
Quantidade anual de Crachás, se deve pela vida útil reduzida em função das atividades braçais exercidas diáriamente.</t>
      </text>
    </comment>
  </commentList>
  <extLst>
    <ext uri="GoogleSheetsCustomDataVersion1">
      <go:sheetsCustomData xmlns:go="http://customooxmlschemas.google.com/" r:id="rId1" roundtripDataSignature="AMtx7mhxStAAwf2l65hpvBBX+y+RWR6nkg=="/>
    </ext>
  </extLst>
</comments>
</file>

<file path=xl/sharedStrings.xml><?xml version="1.0" encoding="utf-8"?>
<sst xmlns="http://schemas.openxmlformats.org/spreadsheetml/2006/main" count="405" uniqueCount="257">
  <si>
    <r>
      <rPr>
        <rFont val="Arial"/>
        <b/>
        <color theme="1"/>
        <sz val="18.0"/>
      </rPr>
      <t>ANEXO   IX do Pregão Eletrônico CMV nº</t>
    </r>
    <r>
      <rPr>
        <rFont val="Arial"/>
        <b/>
        <color rgb="FFFF0000"/>
        <sz val="18.0"/>
      </rPr>
      <t xml:space="preserve">   05/2022
</t>
    </r>
    <r>
      <rPr>
        <rFont val="Arial"/>
        <b/>
        <color theme="1"/>
        <sz val="18.0"/>
      </rPr>
      <t>PLANILHA DE CUSTOS ESTIMADOS</t>
    </r>
  </si>
  <si>
    <t>Nº do processo: 0113/2022</t>
  </si>
  <si>
    <t>Licitação nº: -</t>
  </si>
  <si>
    <t>Pregão Eletrônico nº  05/2022</t>
  </si>
  <si>
    <t>Dia: 18/03/2022</t>
  </si>
  <si>
    <t>Discriminação dos Serviços (dados referentes à contratação)</t>
  </si>
  <si>
    <t>A</t>
  </si>
  <si>
    <t>Data de apresentação da proposta (dia/mês/ano)</t>
  </si>
  <si>
    <t>xx/xx/2022</t>
  </si>
  <si>
    <t>B</t>
  </si>
  <si>
    <t>Município/UF</t>
  </si>
  <si>
    <t>Viamão/RS</t>
  </si>
  <si>
    <t>C</t>
  </si>
  <si>
    <t>Ano do Acordo, Convenção Coletiva ou Sentença Normativa em Dissídio Coletivo</t>
  </si>
  <si>
    <r>
      <rPr>
        <rFont val="Arial"/>
        <b/>
        <color rgb="FF1F497D"/>
        <sz val="10.0"/>
      </rPr>
      <t xml:space="preserve">01/01/22 a 31/12/22 </t>
    </r>
    <r>
      <rPr>
        <rFont val="Arial"/>
        <b/>
        <color rgb="FF1F497D"/>
        <sz val="9.0"/>
      </rPr>
      <t>SEEAC/SINDASSEIO/RS</t>
    </r>
  </si>
  <si>
    <t>D</t>
  </si>
  <si>
    <t>Número de meses de execução contratual</t>
  </si>
  <si>
    <t>REMUNERAÇÃO</t>
  </si>
  <si>
    <t>Dados complementares para composição dos custos referente à mão de obra</t>
  </si>
  <si>
    <t>Tipo de serviço</t>
  </si>
  <si>
    <t>Manutenção Predial</t>
  </si>
  <si>
    <r>
      <rPr>
        <rFont val="Arial"/>
        <b/>
        <color theme="1"/>
        <sz val="10.0"/>
      </rPr>
      <t xml:space="preserve">Salário normativo da categoria profissional - </t>
    </r>
    <r>
      <rPr>
        <rFont val="Arial"/>
        <b/>
        <color rgb="FF0000FF"/>
        <sz val="10.0"/>
      </rPr>
      <t xml:space="preserve"> </t>
    </r>
    <r>
      <rPr>
        <rFont val="Arial"/>
        <b/>
        <color rgb="FF333399"/>
        <sz val="10.0"/>
      </rPr>
      <t xml:space="preserve">para a jornada de 220 h/m e 44 h/sem </t>
    </r>
  </si>
  <si>
    <r>
      <rPr>
        <rFont val="Arial"/>
        <b/>
        <color theme="1"/>
        <sz val="10.0"/>
      </rPr>
      <t xml:space="preserve">Categoria profissional  </t>
    </r>
    <r>
      <rPr>
        <rFont val="Arial"/>
        <b/>
        <color rgb="FF1F497D"/>
        <sz val="10.0"/>
      </rPr>
      <t>CBO: 5143-25</t>
    </r>
  </si>
  <si>
    <t>trabalhador de manutenção de edificações</t>
  </si>
  <si>
    <t>Data base da categoria (dia/mês/ano)</t>
  </si>
  <si>
    <t>1º de janeiro de 2022</t>
  </si>
  <si>
    <t xml:space="preserve">Custo das visitas mensais Engenheiro                 </t>
  </si>
  <si>
    <t xml:space="preserve">                                                                     MÓDULO 1: COMPOSIÇÃO DA REMUNERAÇÃO</t>
  </si>
  <si>
    <t xml:space="preserve">Composição da Remuneração </t>
  </si>
  <si>
    <t>Nº de dias úteis</t>
  </si>
  <si>
    <t>Nº Auxiliares</t>
  </si>
  <si>
    <t>Nº Horas/Mês</t>
  </si>
  <si>
    <t>%</t>
  </si>
  <si>
    <t xml:space="preserve">Valor (R$) </t>
  </si>
  <si>
    <r>
      <rPr>
        <rFont val="Arial"/>
        <b/>
        <color theme="1"/>
        <sz val="10.0"/>
      </rPr>
      <t xml:space="preserve">Salário-base (para a jornada de 40 horas semanais) </t>
    </r>
    <r>
      <rPr>
        <rFont val="Arial"/>
        <b/>
        <color rgb="FF333399"/>
        <sz val="10.0"/>
      </rPr>
      <t>Cálculo do valor: (40/5)x30xR$(SB/200)</t>
    </r>
  </si>
  <si>
    <t xml:space="preserve">Adicional de insalubridade </t>
  </si>
  <si>
    <r>
      <rPr>
        <rFont val="Arial"/>
        <b/>
        <color theme="1"/>
        <sz val="10.0"/>
      </rPr>
      <t xml:space="preserve">Horas Técnicas mensais Engenheiro ( 4 horas mensais) </t>
    </r>
    <r>
      <rPr>
        <rFont val="Arial"/>
        <b/>
        <color theme="4"/>
        <sz val="10.0"/>
      </rPr>
      <t>Cálculo do valor:  [R$ 46,75 x 4h]</t>
    </r>
  </si>
  <si>
    <t>Total da Remuneração</t>
  </si>
  <si>
    <t>MÓDULO 2 : BENEFÍCIOS MENSAIS E DIÁRIOS</t>
  </si>
  <si>
    <t>Benefícios Mensais e Diários</t>
  </si>
  <si>
    <t>Valor unit.(R$)</t>
  </si>
  <si>
    <t>Valor (R$)</t>
  </si>
  <si>
    <r>
      <rPr>
        <rFont val="Arial"/>
        <b/>
        <color theme="1"/>
        <sz val="10.0"/>
      </rPr>
      <t xml:space="preserve">Transporte                                              </t>
    </r>
    <r>
      <rPr>
        <rFont val="Arial"/>
        <b/>
        <color rgb="FF000080"/>
        <sz val="10.0"/>
      </rPr>
      <t xml:space="preserve"> </t>
    </r>
    <r>
      <rPr>
        <rFont val="Arial"/>
        <b/>
        <color rgb="FF333399"/>
        <sz val="10.0"/>
      </rPr>
      <t>Cálculo do valor: [(2xVTx21) – (6%xSB)]</t>
    </r>
  </si>
  <si>
    <r>
      <rPr>
        <rFont val="Arial"/>
        <b/>
        <color theme="1"/>
        <sz val="9.0"/>
      </rPr>
      <t xml:space="preserve">      A.1) Valor da passagem do transporte coletivo no município de prestação dos serviços:</t>
    </r>
    <r>
      <rPr>
        <rFont val="Arial"/>
        <b/>
        <color rgb="FFFF0000"/>
        <sz val="9.0"/>
      </rPr>
      <t xml:space="preserve"> </t>
    </r>
  </si>
  <si>
    <t>-</t>
  </si>
  <si>
    <t xml:space="preserve">      A.2) Quantidade de passagens por dia por empregado:</t>
  </si>
  <si>
    <r>
      <rPr>
        <rFont val="Arial"/>
        <b/>
        <color theme="1"/>
        <sz val="10.0"/>
      </rPr>
      <t xml:space="preserve">Auxílio-alimentação  (vales, cesta básica, entre outros) </t>
    </r>
    <r>
      <rPr>
        <rFont val="Arial"/>
        <b/>
        <color rgb="FF000080"/>
        <sz val="8.0"/>
      </rPr>
      <t>Cálculo do valor = [(21xVA)x(1-</t>
    </r>
    <r>
      <rPr>
        <rFont val="Arial"/>
        <b/>
        <color rgb="FF000080"/>
        <sz val="10.0"/>
      </rPr>
      <t>0,19</t>
    </r>
    <r>
      <rPr>
        <rFont val="Arial"/>
        <b/>
        <color rgb="FF000080"/>
        <sz val="8.0"/>
      </rPr>
      <t>)]</t>
    </r>
  </si>
  <si>
    <r>
      <rPr>
        <rFont val="Arial"/>
        <b/>
        <color theme="1"/>
        <sz val="9.0"/>
      </rPr>
      <t xml:space="preserve">      B.1) Valor do auxílio-alimentação </t>
    </r>
    <r>
      <rPr>
        <rFont val="Arial"/>
        <b/>
        <color rgb="FF000080"/>
        <sz val="9.0"/>
      </rPr>
      <t>(cláusula 18 da CCT )</t>
    </r>
    <r>
      <rPr>
        <rFont val="Arial"/>
        <b/>
        <color theme="1"/>
        <sz val="9.0"/>
      </rPr>
      <t xml:space="preserve">: </t>
    </r>
  </si>
  <si>
    <t>Assistência médica e familiar</t>
  </si>
  <si>
    <t>Auxílio-creche</t>
  </si>
  <si>
    <t>E</t>
  </si>
  <si>
    <t xml:space="preserve">Plano de Benefício Social Familiar   </t>
  </si>
  <si>
    <t>F</t>
  </si>
  <si>
    <t>Outros (especificar)</t>
  </si>
  <si>
    <t>Total de Benefícios Mensais e Diários</t>
  </si>
  <si>
    <t>Nota: o valor informado deverá ser o custo real do insumo (descontado o valor eventualmente pago pelo empregado).</t>
  </si>
  <si>
    <t>MÓDULO 3: INSUMOS DIVERSOS</t>
  </si>
  <si>
    <t>Insumos diversos</t>
  </si>
  <si>
    <t>Uniformes</t>
  </si>
  <si>
    <t>Ferramentas e Equipamentos</t>
  </si>
  <si>
    <t xml:space="preserve">Outros </t>
  </si>
  <si>
    <t>Total de Insumos Diversos</t>
  </si>
  <si>
    <t>Nota: Valores mensais por empregado.</t>
  </si>
  <si>
    <t xml:space="preserve">                                                                  MÓDULO 4: ENCARGOS SOCIAIS E TRABALHISTAS</t>
  </si>
  <si>
    <t>Submódulo 4.1 - Encargos Previdenciários, FGTS e outras contribuições:</t>
  </si>
  <si>
    <t>4.1</t>
  </si>
  <si>
    <t>Encargos Previdenciários e FGTS</t>
  </si>
  <si>
    <t>Percentual (%)</t>
  </si>
  <si>
    <t>INSS</t>
  </si>
  <si>
    <t>SESI ou SESC</t>
  </si>
  <si>
    <t>SENAI ou SENAC</t>
  </si>
  <si>
    <t>INCRA</t>
  </si>
  <si>
    <t>Salário educação</t>
  </si>
  <si>
    <t>FGTS</t>
  </si>
  <si>
    <t>G</t>
  </si>
  <si>
    <r>
      <rPr>
        <rFont val="Arial"/>
        <b/>
        <color theme="1"/>
        <sz val="10.0"/>
      </rPr>
      <t xml:space="preserve">Seguro Acidente de Trabalho =                          SAT = (RAT x FAP)
</t>
    </r>
    <r>
      <rPr>
        <rFont val="Arial"/>
        <b val="0"/>
        <color rgb="FF333399"/>
        <sz val="10.0"/>
      </rPr>
      <t>SAT =</t>
    </r>
    <r>
      <rPr>
        <rFont val="Arial"/>
        <b/>
        <color rgb="FF333399"/>
        <sz val="10.0"/>
      </rPr>
      <t xml:space="preserve"> </t>
    </r>
    <r>
      <rPr>
        <rFont val="Arial"/>
        <b/>
        <color rgb="FF333399"/>
        <sz val="8.0"/>
      </rPr>
      <t>( %Riscos Ambientais do Trabalho x Fator Acidentário de Prevenção de cada empresa )</t>
    </r>
  </si>
  <si>
    <t>RAT =</t>
  </si>
  <si>
    <t xml:space="preserve"> FAP =</t>
  </si>
  <si>
    <t>H</t>
  </si>
  <si>
    <t>SEBRAE</t>
  </si>
  <si>
    <t>TOTAL</t>
  </si>
  <si>
    <t>Nota (1) - Os percentuais dos encargos previdenciários do FGTS e demais contribuições são aqueles estabelecidos pela legislação vigente.
Nota (2) - Percentuais incidentes sobre a remuneração.</t>
  </si>
  <si>
    <t>Submódulo 4.2 - 13º (décimo terceiro) Salário</t>
  </si>
  <si>
    <t>4.2</t>
  </si>
  <si>
    <t>13º (décimo terceiro) Salário</t>
  </si>
  <si>
    <r>
      <rPr>
        <rFont val="Arial"/>
        <b/>
        <color theme="1"/>
        <sz val="10.0"/>
      </rPr>
      <t xml:space="preserve">13º (décimo terceiro) salário </t>
    </r>
    <r>
      <rPr>
        <rFont val="Arial"/>
        <b/>
        <color rgb="FF333399"/>
        <sz val="10.0"/>
      </rPr>
      <t xml:space="preserve"> "Obrigatória" a cotação de 8,33% (= Rem./12)sobre o valor do Módulo 1-Composição da Remuneração, conforme art. 19-A e Anexo VII da IN 2/08.      </t>
    </r>
  </si>
  <si>
    <t>Subtotal</t>
  </si>
  <si>
    <t xml:space="preserve">Incidência dos encargos previstos no submódulo 4.1 sobre o 13º (décimo terceiro) salário </t>
  </si>
  <si>
    <t>Submódulo 4.3 - Afastamento Maternidade</t>
  </si>
  <si>
    <t>4.3</t>
  </si>
  <si>
    <t>Afastamento Maternidade</t>
  </si>
  <si>
    <r>
      <rPr>
        <rFont val="Arial"/>
        <b/>
        <color theme="1"/>
        <sz val="10.0"/>
      </rPr>
      <t xml:space="preserve">Afastamento maternidade             </t>
    </r>
    <r>
      <rPr>
        <rFont val="Arial"/>
        <b/>
        <color rgb="FF993300"/>
        <sz val="10.0"/>
      </rPr>
      <t xml:space="preserve"> </t>
    </r>
    <r>
      <rPr>
        <rFont val="Arial"/>
        <b/>
        <color rgb="FF333399"/>
        <sz val="10.0"/>
      </rPr>
      <t>Cálculo do valor = {[(Rem+1/3Rem)/12]x(4/12)}x2%</t>
    </r>
  </si>
  <si>
    <t xml:space="preserve">Incidência dos encargos do submódulo 4.1 sobre o Afastamento Maternidade </t>
  </si>
  <si>
    <t>Submódulo 4.4 - Provisão para rescisão</t>
  </si>
  <si>
    <t>4.4</t>
  </si>
  <si>
    <t>Provisão para rescisão</t>
  </si>
  <si>
    <r>
      <rPr>
        <rFont val="Arial"/>
        <b/>
        <color theme="1"/>
        <sz val="10.0"/>
      </rPr>
      <t xml:space="preserve">Aviso-prévio indenizado    </t>
    </r>
    <r>
      <rPr>
        <rFont val="Arial"/>
        <b/>
        <color rgb="FF993300"/>
        <sz val="10.0"/>
      </rPr>
      <t xml:space="preserve"> </t>
    </r>
    <r>
      <rPr>
        <rFont val="Arial"/>
        <b/>
        <color rgb="FF333399"/>
        <sz val="10.0"/>
      </rPr>
      <t>Cálculo do valor = (Rem/12)x(nº de dias de indenização/30)x 5% de rotatividade anual - utilizado 33 dias para Limpeza</t>
    </r>
  </si>
  <si>
    <t>Incidência do FGTS sobre aviso-prévio indenizado</t>
  </si>
  <si>
    <r>
      <rPr>
        <rFont val="Arial"/>
        <b/>
        <color theme="1"/>
        <sz val="10.0"/>
      </rPr>
      <t xml:space="preserve">Multa sobre FGTS e contribuições sociais sobre o aviso-prévio indenizado                            </t>
    </r>
    <r>
      <rPr>
        <rFont val="Arial"/>
        <b/>
        <color rgb="FF000080"/>
        <sz val="10.0"/>
      </rPr>
      <t>Cálculo do valor: Rem (50% x 8% x 5%)</t>
    </r>
  </si>
  <si>
    <r>
      <rPr>
        <rFont val="Arial"/>
        <b/>
        <color theme="1"/>
        <sz val="10.0"/>
      </rPr>
      <t xml:space="preserve">Aviso-previo trabalhado               </t>
    </r>
    <r>
      <rPr>
        <rFont val="Arial"/>
        <b/>
        <color rgb="FF993300"/>
        <sz val="10.0"/>
      </rPr>
      <t xml:space="preserve">    </t>
    </r>
    <r>
      <rPr>
        <rFont val="Arial"/>
        <b/>
        <color rgb="FF333399"/>
        <sz val="10.0"/>
      </rPr>
      <t xml:space="preserve"> 
Cálculo do valor= [(Rem/30)x7]/</t>
    </r>
    <r>
      <rPr>
        <rFont val="Arial"/>
        <b/>
        <color rgb="FF333399"/>
        <sz val="12.0"/>
      </rPr>
      <t>12</t>
    </r>
    <r>
      <rPr>
        <rFont val="Arial"/>
        <b/>
        <color rgb="FF333399"/>
        <sz val="10.0"/>
      </rPr>
      <t xml:space="preserve"> meses do contrato</t>
    </r>
  </si>
  <si>
    <t>Incidência dos encargos do submódulo 4.1 sobre o aviso-prévio trabalhado</t>
  </si>
  <si>
    <r>
      <rPr>
        <rFont val="Arial"/>
        <b/>
        <color theme="1"/>
        <sz val="10.0"/>
      </rPr>
      <t xml:space="preserve">Multa sobre FGTS e contribuições sociais sobre o aviso-prévio trabalhado                                         </t>
    </r>
    <r>
      <rPr>
        <rFont val="Arial"/>
        <b/>
        <color rgb="FFFF0000"/>
        <sz val="10.0"/>
      </rPr>
      <t xml:space="preserve"> </t>
    </r>
    <r>
      <rPr>
        <rFont val="Arial"/>
        <b/>
        <color rgb="FF000080"/>
        <sz val="10.0"/>
      </rPr>
      <t>Cálculo do valor: Rem(40% = 10%) x 8% x 100%</t>
    </r>
  </si>
  <si>
    <t>Submódulo 4.5 - Custo de reposição do profissional ausente</t>
  </si>
  <si>
    <t>4.5</t>
  </si>
  <si>
    <t>Composição do custo de reposição do profissional ausente</t>
  </si>
  <si>
    <r>
      <rPr>
        <rFont val="Arial"/>
        <b/>
        <color theme="1"/>
        <sz val="10.0"/>
      </rPr>
      <t xml:space="preserve">Férias e terço constitucional de férias </t>
    </r>
    <r>
      <rPr>
        <rFont val="Arial"/>
        <b/>
        <color rgb="FF000080"/>
        <sz val="10.0"/>
      </rPr>
      <t xml:space="preserve">  Cálculo do valor = [(Rem/12) + (Rem/3)]/12</t>
    </r>
  </si>
  <si>
    <r>
      <rPr>
        <rFont val="Arial"/>
        <b/>
        <color theme="1"/>
        <sz val="10.0"/>
      </rPr>
      <t xml:space="preserve">Ausência por doença                          </t>
    </r>
    <r>
      <rPr>
        <rFont val="Arial"/>
        <b/>
        <color rgb="FF333399"/>
        <sz val="10.0"/>
      </rPr>
      <t>Cálculo do valor = [(Rem/30)x5dias]/12</t>
    </r>
  </si>
  <si>
    <r>
      <rPr>
        <rFont val="Arial"/>
        <b/>
        <color theme="1"/>
        <sz val="10.0"/>
      </rPr>
      <t xml:space="preserve">Licença-paternidade                           </t>
    </r>
    <r>
      <rPr>
        <rFont val="Arial"/>
        <b/>
        <color rgb="FF333399"/>
        <sz val="10.0"/>
      </rPr>
      <t>Cálculo do valor = {[(Rem/30)x5dias]/12}x1,5%</t>
    </r>
  </si>
  <si>
    <r>
      <rPr>
        <rFont val="Arial"/>
        <b/>
        <color theme="1"/>
        <sz val="10.0"/>
      </rPr>
      <t xml:space="preserve">Ausências legais                                </t>
    </r>
    <r>
      <rPr>
        <rFont val="Arial"/>
        <b/>
        <color rgb="FF333399"/>
        <sz val="10.0"/>
      </rPr>
      <t xml:space="preserve"> Cálculo do valor = [(Rem/30)x2,96dias]/12</t>
    </r>
  </si>
  <si>
    <r>
      <rPr>
        <rFont val="Arial"/>
        <b/>
        <color theme="1"/>
        <sz val="10.0"/>
      </rPr>
      <t xml:space="preserve">Ausência por acidente de trabalho     </t>
    </r>
    <r>
      <rPr>
        <rFont val="Arial"/>
        <b/>
        <color rgb="FF333399"/>
        <sz val="10.0"/>
      </rPr>
      <t>Cálculo do valor  = {[(Rem/30)x</t>
    </r>
    <r>
      <rPr>
        <rFont val="Arial"/>
        <b/>
        <color rgb="FF333399"/>
        <sz val="12.0"/>
      </rPr>
      <t>15</t>
    </r>
    <r>
      <rPr>
        <rFont val="Arial"/>
        <b/>
        <color rgb="FF333399"/>
        <sz val="10.0"/>
      </rPr>
      <t xml:space="preserve">dias]/12}x0,78% </t>
    </r>
  </si>
  <si>
    <t>Incidência dos encargos do submódulo 4.1 sobre o custo de reposição do profissional ausente</t>
  </si>
  <si>
    <t>Quadro-Resumo - Módulo 4 - Encargos sociais e trabalhistas</t>
  </si>
  <si>
    <t>Módulo 4 - Encargos sociais e trabalhistas</t>
  </si>
  <si>
    <t>Encargos previdenciários, FGTS e outras contribuições</t>
  </si>
  <si>
    <t xml:space="preserve">13º (décimo terceiro) salário </t>
  </si>
  <si>
    <t>Afastamento maternidade</t>
  </si>
  <si>
    <t>Custo de rescisão</t>
  </si>
  <si>
    <t>Custo de reposição do profissional ausente</t>
  </si>
  <si>
    <t>4.6</t>
  </si>
  <si>
    <t>MÓDULO 5 - CUSTOS INDIRETOS, LUCRO E TRIBUTOS</t>
  </si>
  <si>
    <t xml:space="preserve">Custos indiretos, lucro e tributos </t>
  </si>
  <si>
    <t>BASE DE CÁLCULO DOS CUSTOS INDIRETOS  = (Total da Remuneração + Total dos Benefícios Mensais e Diários + Total de Insumos Diversos + Total do Quadro-resumo do Módulo 4 de Encargos Sociais e Trabalhistas)</t>
  </si>
  <si>
    <t>Custos indiretos</t>
  </si>
  <si>
    <t>BASE DE CÁLCULO DO LUCRO = (Total da Remuneração + Total dos Benefícios Mensais e Diários + Total de Insumos Diversos + Total do Quadro-resumo do Módulo 4 de Encargos Sociais e Trabalhistas + Custos Indiretos)</t>
  </si>
  <si>
    <t>Lucro Presumido</t>
  </si>
  <si>
    <t xml:space="preserve">BASE DE CÁLCULO DOS TRIBUTOS </t>
  </si>
  <si>
    <t>Tributos</t>
  </si>
  <si>
    <t xml:space="preserve">C.1    Tributos Federais (especificar)           </t>
  </si>
  <si>
    <r>
      <rPr>
        <rFont val="Arial"/>
        <color theme="1"/>
        <sz val="10.0"/>
      </rPr>
      <t xml:space="preserve">  </t>
    </r>
    <r>
      <rPr>
        <rFont val="Arial"/>
        <b/>
        <color theme="1"/>
        <sz val="10.0"/>
      </rPr>
      <t>a) Cofins</t>
    </r>
  </si>
  <si>
    <r>
      <rPr>
        <rFont val="Arial"/>
        <color theme="1"/>
        <sz val="10.0"/>
      </rPr>
      <t xml:space="preserve">  </t>
    </r>
    <r>
      <rPr>
        <rFont val="Arial"/>
        <b/>
        <color theme="1"/>
        <sz val="10.0"/>
      </rPr>
      <t>b) PIS</t>
    </r>
  </si>
  <si>
    <t>C.2   Tributos Estaduais (especificar)</t>
  </si>
  <si>
    <t>C.3   Tributos Municipais (especificar):</t>
  </si>
  <si>
    <r>
      <rPr>
        <rFont val="Arial"/>
        <color theme="1"/>
        <sz val="10.0"/>
      </rPr>
      <t xml:space="preserve">  </t>
    </r>
    <r>
      <rPr>
        <rFont val="Arial"/>
        <b/>
        <color theme="1"/>
        <sz val="10.0"/>
      </rPr>
      <t xml:space="preserve">a) ISS                                               </t>
    </r>
  </si>
  <si>
    <t xml:space="preserve">Percentual Total e Valor Total de Tributos  </t>
  </si>
  <si>
    <t>Cálculo dos Tributos</t>
  </si>
  <si>
    <t xml:space="preserve">                                         Base de Cálculo para os Tributos</t>
  </si>
  <si>
    <t xml:space="preserve"> = ( --------------------------------------------------------- ) x Alíquota do Tributo</t>
  </si>
  <si>
    <t xml:space="preserve">                                        1 - (Total de Tributos em % dividido por 100)</t>
  </si>
  <si>
    <t>Nota (1): Custos Indiretos, Lucro e Tributos por empregado.
Nota (2): O valor referente a tributos é obtido aplicando-se o percentual sobre o valor do faturamento.</t>
  </si>
  <si>
    <r>
      <rPr>
        <rFont val="Arial"/>
        <b/>
        <color theme="1"/>
        <sz val="12.0"/>
      </rPr>
      <t>ANEXO  III</t>
    </r>
    <r>
      <rPr>
        <rFont val="Arial"/>
        <b/>
        <color theme="1"/>
        <sz val="12.0"/>
        <u/>
      </rPr>
      <t xml:space="preserve"> - B
</t>
    </r>
    <r>
      <rPr>
        <rFont val="Arial"/>
        <b/>
        <color theme="1"/>
        <sz val="11.0"/>
      </rPr>
      <t xml:space="preserve">Quadro-Resumo do custo por empregado
</t>
    </r>
  </si>
  <si>
    <t>Mão de obra vinculada à execução contratual (valor por empregado)</t>
  </si>
  <si>
    <t>Módulo 1 - Composição da remuneração</t>
  </si>
  <si>
    <t>Módulo 2 - Benefícios mensais e diários</t>
  </si>
  <si>
    <t>Módulo 3 - Insumo diversos (uniformes, ferramentas, equipamentos e outros)</t>
  </si>
  <si>
    <t>Subtotal (A + B + C + D)</t>
  </si>
  <si>
    <t>Módulo 5 - Custos indiretos, lucro e tributos</t>
  </si>
  <si>
    <t>Valor total por  todos os empregado</t>
  </si>
  <si>
    <t>Valor mensal do serviço</t>
  </si>
  <si>
    <t>Número de meses do contrato</t>
  </si>
  <si>
    <r>
      <rPr>
        <rFont val="Arial"/>
        <b/>
        <color theme="1"/>
        <sz val="14.0"/>
      </rPr>
      <t xml:space="preserve">Valor global da proposta </t>
    </r>
    <r>
      <rPr>
        <rFont val="Arial"/>
        <b/>
        <color theme="1"/>
        <sz val="10.0"/>
      </rPr>
      <t>(valor mensal do serviço x nº de meses do contrato)</t>
    </r>
  </si>
  <si>
    <t>QUANTIDADE DE PESSOAL ALOCADO NA EXECUÇÃO CONTRATUAL (inciso V do art. 21 da IN SLTI nº 2/2008)</t>
  </si>
  <si>
    <t>Tipo de Mão de Obra</t>
  </si>
  <si>
    <t>Quantidade de Pessoal</t>
  </si>
  <si>
    <t>Auxiliar de Manutenção Predial</t>
  </si>
  <si>
    <t>ANEXO - RESUMOS</t>
  </si>
  <si>
    <t>PLANILHAS DE CUSTOS E DE FORMAÇÃO DE PREÇOS</t>
  </si>
  <si>
    <t>PROCESSO  n°   113/2022</t>
  </si>
  <si>
    <t>PREGÃO ELETRÔNICO CMV Nº 05/2022</t>
  </si>
  <si>
    <t>Horas Semanal</t>
  </si>
  <si>
    <t>Postos</t>
  </si>
  <si>
    <t>Módulo 1: Composição da Remuneração</t>
  </si>
  <si>
    <t>Módulo 2: Benefícios Mensais e Diários</t>
  </si>
  <si>
    <t>Módulo 3: Insumos Diversos</t>
  </si>
  <si>
    <t>Módulo 4: Encargos Sociais e Trabalhistas</t>
  </si>
  <si>
    <t>Módulo 5: Custos Indiretos , Lucro e Tributos</t>
  </si>
  <si>
    <t>Valor Mensal por posto (unidade)</t>
  </si>
  <si>
    <t>Total Mensal</t>
  </si>
  <si>
    <t>Oficial de Manutenção Predial</t>
  </si>
  <si>
    <t>40hs</t>
  </si>
  <si>
    <t>TOTAL MENSAL DOS SERVIÇOS</t>
  </si>
  <si>
    <t>N°</t>
  </si>
  <si>
    <t>Função</t>
  </si>
  <si>
    <t>Horas Mês</t>
  </si>
  <si>
    <t>Efetivo</t>
  </si>
  <si>
    <t xml:space="preserve">Totais: </t>
  </si>
  <si>
    <t>QUADRO RESUMO DO CONTRATO</t>
  </si>
  <si>
    <t>Serviço</t>
  </si>
  <si>
    <t>Valor Mensal por Unidade de Serviço</t>
  </si>
  <si>
    <t>Quantidade de Unidade de Serviços</t>
  </si>
  <si>
    <t>OFICIAL DE MANUTENÇÃO PREDIAL</t>
  </si>
  <si>
    <t>Valor Mensal do Contrato</t>
  </si>
  <si>
    <t>ANEXO IX -A</t>
  </si>
  <si>
    <t>PLANILHA DE QUANTIDADES E ORÇAMENTO DE EQUIPAMENTOS, UNIFORMES E FERRAMENTAS</t>
  </si>
  <si>
    <t>Instruções:</t>
  </si>
  <si>
    <t>As quantidades eventualmente preenchidas nestas planilhas são apenas as estimadas.</t>
  </si>
  <si>
    <t>As quantidades referem-se ao necessário para os 12(doze) meses de contrato.</t>
  </si>
  <si>
    <t>Deve-se descrever todos os uniformes/ferramentas/equipamentos necessários à consecução do serviço.</t>
  </si>
  <si>
    <t>MÓDULO 3 – UNIFORMES,FERRAMENTAS E EQUIPAMENTOS</t>
  </si>
  <si>
    <t xml:space="preserve">UNIFORMES  </t>
  </si>
  <si>
    <t>Qtde</t>
  </si>
  <si>
    <t>Descrição</t>
  </si>
  <si>
    <t>Custo unitário (R$)</t>
  </si>
  <si>
    <t>Vida útil (meses)</t>
  </si>
  <si>
    <t>Custo anual (R$)</t>
  </si>
  <si>
    <t>Custo mensal (R$)</t>
  </si>
  <si>
    <t>Calça de abrigo</t>
  </si>
  <si>
    <t>12</t>
  </si>
  <si>
    <t>Camiseta de manga curta</t>
  </si>
  <si>
    <t>Camiseta de manga longa</t>
  </si>
  <si>
    <t>Blusão de moletom</t>
  </si>
  <si>
    <t>Par de Botinas/Sapatos PU</t>
  </si>
  <si>
    <t>Crachá de identificação</t>
  </si>
  <si>
    <t>Par de luvas trabalhos elétricos</t>
  </si>
  <si>
    <t xml:space="preserve"> </t>
  </si>
  <si>
    <t>Custo Total</t>
  </si>
  <si>
    <t>FERRAMENTAS E EQUIPAMENTOS</t>
  </si>
  <si>
    <t>Alicate de bico redondo com cabo isolado 4,5"</t>
  </si>
  <si>
    <t>60</t>
  </si>
  <si>
    <t>Alicate de corte com cabo isolado</t>
  </si>
  <si>
    <t>Alicate de pressão</t>
  </si>
  <si>
    <t>Alicate descascador</t>
  </si>
  <si>
    <t>Alicate universal com cabo isolado</t>
  </si>
  <si>
    <t>Amperímetro digital do tipo alicate</t>
  </si>
  <si>
    <t>Analisador digital de cabeamento – compatível com certificação na Categoria 6e ou superior</t>
  </si>
  <si>
    <t>Aplicador de silicone</t>
  </si>
  <si>
    <t>Arco de serra</t>
  </si>
  <si>
    <t>Balde metálico</t>
  </si>
  <si>
    <t>Caixa de ferramentas / bolsa de ferramentas</t>
  </si>
  <si>
    <t>Chave “INGLESA”</t>
  </si>
  <si>
    <t>Chave catraca (3/16, ¼, 5/16 e 3/8)</t>
  </si>
  <si>
    <t>Chave teste neon</t>
  </si>
  <si>
    <t>Colher de pedreiro</t>
  </si>
  <si>
    <t>Conjunto de chave “BIELA” (06 a 28)</t>
  </si>
  <si>
    <t>Conjunto de chave “CANHÃO” (06 a 28)</t>
  </si>
  <si>
    <t>Desempenadeira de PVC</t>
  </si>
  <si>
    <t xml:space="preserve">Escada de alumínio de seis degraus  </t>
  </si>
  <si>
    <t>Esmeril de bancada</t>
  </si>
  <si>
    <t>Espátula</t>
  </si>
  <si>
    <t>Esquadro</t>
  </si>
  <si>
    <t>Estilete</t>
  </si>
  <si>
    <t>Ferro de soldar</t>
  </si>
  <si>
    <r>
      <rPr>
        <rFont val="Times New Roman"/>
        <color rgb="FF000000"/>
        <sz val="11.0"/>
      </rPr>
      <t xml:space="preserve"> Furadeira de impacto</t>
    </r>
  </si>
  <si>
    <t>Jogo de chaves “ALLEN” completo</t>
  </si>
  <si>
    <t>Jogo de chaves “ESTRELA” completo (milimétrica)</t>
  </si>
  <si>
    <t>Jogo de chaves “GRIFF” completo</t>
  </si>
  <si>
    <r>
      <rPr>
        <rFont val="Times New Roman"/>
        <color rgb="FF000000"/>
        <sz val="11.0"/>
      </rPr>
      <t xml:space="preserve"> Jogo de chaves “PHILIPS” e "FENDA" completos</t>
    </r>
  </si>
  <si>
    <t>Jogo de chaves “SOQUETE” completo</t>
  </si>
  <si>
    <t>Jogo de chaves de “BOCA” completo (milimétrica)</t>
  </si>
  <si>
    <t>Jogo de chaves tipo “CACHIMBO” completo</t>
  </si>
  <si>
    <t>Jogo de limas</t>
  </si>
  <si>
    <r>
      <rPr>
        <rFont val="Arial"/>
        <color rgb="FF000000"/>
        <sz val="11.0"/>
      </rPr>
      <t>·</t>
    </r>
    <r>
      <rPr>
        <rFont val="Times New Roman"/>
        <color rgb="FF000000"/>
        <sz val="7.0"/>
      </rPr>
      <t xml:space="preserve">           </t>
    </r>
    <r>
      <rPr>
        <rFont val="Times New Roman"/>
        <color rgb="FF000000"/>
        <sz val="11.0"/>
      </rPr>
      <t>Lanterna (LED tática)</t>
    </r>
  </si>
  <si>
    <t>Maçarico</t>
  </si>
  <si>
    <r>
      <rPr>
        <rFont val="Symbol"/>
        <color rgb="FF000000"/>
        <sz val="11.0"/>
      </rPr>
      <t>·</t>
    </r>
    <r>
      <rPr>
        <rFont val="Times New Roman"/>
        <color rgb="FF000000"/>
        <sz val="7.0"/>
      </rPr>
      <t xml:space="preserve">           </t>
    </r>
    <r>
      <rPr>
        <rFont val="Times New Roman"/>
        <color rgb="FF000000"/>
        <sz val="11.0"/>
      </rPr>
      <t>Marreta</t>
    </r>
  </si>
  <si>
    <r>
      <rPr>
        <rFont val="Symbol"/>
        <color rgb="FF000000"/>
        <sz val="11.0"/>
      </rPr>
      <t>·</t>
    </r>
    <r>
      <rPr>
        <rFont val="Times New Roman"/>
        <color rgb="FF000000"/>
        <sz val="7.0"/>
      </rPr>
      <t xml:space="preserve">           </t>
    </r>
    <r>
      <rPr>
        <rFont val="Times New Roman"/>
        <color rgb="FF000000"/>
        <sz val="11.0"/>
      </rPr>
      <t>Martelo</t>
    </r>
  </si>
  <si>
    <r>
      <rPr>
        <rFont val="Symbol"/>
        <color rgb="FF000000"/>
        <sz val="11.0"/>
      </rPr>
      <t>·</t>
    </r>
    <r>
      <rPr>
        <rFont val="Times New Roman"/>
        <color rgb="FF000000"/>
        <sz val="7.0"/>
      </rPr>
      <t xml:space="preserve">           </t>
    </r>
    <r>
      <rPr>
        <rFont val="Times New Roman"/>
        <color rgb="FF000000"/>
        <sz val="11.0"/>
      </rPr>
      <t>Martelo de borracha</t>
    </r>
  </si>
  <si>
    <r>
      <rPr>
        <rFont val="Symbol"/>
        <color rgb="FF000000"/>
        <sz val="11.0"/>
      </rPr>
      <t>·</t>
    </r>
    <r>
      <rPr>
        <rFont val="Times New Roman"/>
        <color rgb="FF000000"/>
        <sz val="7.0"/>
      </rPr>
      <t xml:space="preserve">           </t>
    </r>
    <r>
      <rPr>
        <rFont val="Times New Roman"/>
        <color rgb="FF000000"/>
        <sz val="11.0"/>
      </rPr>
      <t>Nível</t>
    </r>
  </si>
  <si>
    <r>
      <rPr>
        <rFont val="Symbol"/>
        <color rgb="FF000000"/>
        <sz val="11.0"/>
      </rPr>
      <t>·</t>
    </r>
    <r>
      <rPr>
        <rFont val="Times New Roman"/>
        <color rgb="FF000000"/>
        <sz val="7.0"/>
      </rPr>
      <t xml:space="preserve">           </t>
    </r>
    <r>
      <rPr>
        <rFont val="Times New Roman"/>
        <color rgb="FF000000"/>
        <sz val="11.0"/>
      </rPr>
      <t>Pá de concha</t>
    </r>
  </si>
  <si>
    <r>
      <rPr>
        <rFont val="Symbol"/>
        <color rgb="FF000000"/>
        <sz val="11.0"/>
      </rPr>
      <t>·</t>
    </r>
    <r>
      <rPr>
        <rFont val="Times New Roman"/>
        <color rgb="FF000000"/>
        <sz val="7.0"/>
      </rPr>
      <t xml:space="preserve">           </t>
    </r>
    <r>
      <rPr>
        <rFont val="Times New Roman"/>
        <color rgb="FF000000"/>
        <sz val="11.0"/>
      </rPr>
      <t>Paquímetro</t>
    </r>
  </si>
  <si>
    <r>
      <rPr>
        <rFont val="Symbol"/>
        <color rgb="FF000000"/>
        <sz val="11.0"/>
      </rPr>
      <t>·</t>
    </r>
    <r>
      <rPr>
        <rFont val="Times New Roman"/>
        <color rgb="FF000000"/>
        <sz val="7.0"/>
      </rPr>
      <t xml:space="preserve">           </t>
    </r>
    <r>
      <rPr>
        <rFont val="Times New Roman"/>
        <color rgb="FF000000"/>
        <sz val="11.0"/>
      </rPr>
      <t>Pé–de-cabra</t>
    </r>
  </si>
  <si>
    <r>
      <rPr>
        <rFont val="Symbol"/>
        <color rgb="FF000000"/>
        <sz val="11.0"/>
      </rPr>
      <t>·</t>
    </r>
    <r>
      <rPr>
        <rFont val="Times New Roman"/>
        <color rgb="FF000000"/>
        <sz val="7.0"/>
      </rPr>
      <t xml:space="preserve">           </t>
    </r>
    <r>
      <rPr>
        <rFont val="Times New Roman"/>
        <color rgb="FF000000"/>
        <sz val="11.0"/>
      </rPr>
      <t>Plaina elétrica</t>
    </r>
  </si>
  <si>
    <t>Prumo</t>
  </si>
  <si>
    <r>
      <rPr>
        <rFont val="Symbol"/>
        <color rgb="FF000000"/>
        <sz val="11.0"/>
      </rPr>
      <t>·</t>
    </r>
    <r>
      <rPr>
        <rFont val="Times New Roman"/>
        <color rgb="FF000000"/>
        <sz val="7.0"/>
      </rPr>
      <t xml:space="preserve">           </t>
    </r>
    <r>
      <rPr>
        <rFont val="Times New Roman"/>
        <color rgb="FF000000"/>
        <sz val="11.0"/>
      </rPr>
      <t>Rebitadeira</t>
    </r>
  </si>
  <si>
    <r>
      <rPr>
        <rFont val="Symbol"/>
        <color rgb="FF000000"/>
        <sz val="11.0"/>
      </rPr>
      <t>·</t>
    </r>
    <r>
      <rPr>
        <rFont val="Times New Roman"/>
        <color rgb="FF000000"/>
        <sz val="7.0"/>
      </rPr>
      <t xml:space="preserve">           </t>
    </r>
    <r>
      <rPr>
        <rFont val="Times New Roman"/>
        <color rgb="FF000000"/>
        <sz val="11.0"/>
      </rPr>
      <t>Régua de alumínio</t>
    </r>
  </si>
  <si>
    <t>Serra copo - kit com 11 peças</t>
  </si>
  <si>
    <r>
      <rPr>
        <rFont val="Symbol"/>
        <color rgb="FF000000"/>
        <sz val="11.0"/>
      </rPr>
      <t>·</t>
    </r>
    <r>
      <rPr>
        <rFont val="Times New Roman"/>
        <color rgb="FF000000"/>
        <sz val="7.0"/>
      </rPr>
      <t xml:space="preserve">           </t>
    </r>
    <r>
      <rPr>
        <rFont val="Times New Roman"/>
        <color rgb="FF000000"/>
        <sz val="11.0"/>
      </rPr>
      <t>Serrote profissional</t>
    </r>
  </si>
  <si>
    <r>
      <rPr>
        <rFont val="Symbol"/>
        <color rgb="FF000000"/>
        <sz val="11.0"/>
      </rPr>
      <t>·</t>
    </r>
    <r>
      <rPr>
        <rFont val="Times New Roman"/>
        <color rgb="FF000000"/>
        <sz val="7.0"/>
      </rPr>
      <t xml:space="preserve">           </t>
    </r>
    <r>
      <rPr>
        <rFont val="Times New Roman"/>
        <color rgb="FF000000"/>
        <sz val="11.0"/>
      </rPr>
      <t>Jogo de Talhadeiras</t>
    </r>
  </si>
  <si>
    <r>
      <rPr>
        <rFont val="Symbol"/>
        <color rgb="FF000000"/>
        <sz val="11.0"/>
      </rPr>
      <t>·</t>
    </r>
    <r>
      <rPr>
        <rFont val="Times New Roman"/>
        <color rgb="FF000000"/>
        <sz val="7.0"/>
      </rPr>
      <t xml:space="preserve">           </t>
    </r>
    <r>
      <rPr>
        <rFont val="Times New Roman"/>
        <color rgb="FF000000"/>
        <sz val="11.0"/>
      </rPr>
      <t>Trena de 10 metros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</si>
</sst>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R$ &quot;#,##0.00"/>
    <numFmt numFmtId="165" formatCode="[$R$ -416]#,##0.00"/>
    <numFmt numFmtId="166" formatCode="_-&quot;R$ &quot;* #,##0.00_-;&quot;-R$ &quot;* #,##0.00_-;_-&quot;R$ &quot;* \-??_-;_-@"/>
    <numFmt numFmtId="167" formatCode="0.0000"/>
    <numFmt numFmtId="168" formatCode="0.0000%"/>
  </numFmts>
  <fonts count="32">
    <font>
      <sz val="11.0"/>
      <color rgb="FF000000"/>
      <name val="Calibri"/>
      <scheme val="minor"/>
    </font>
    <font>
      <b/>
      <sz val="18.0"/>
      <color theme="1"/>
      <name val="Arial"/>
    </font>
    <font/>
    <font>
      <b/>
      <sz val="10.0"/>
      <color theme="1"/>
      <name val="Arial"/>
    </font>
    <font>
      <b/>
      <sz val="10.0"/>
      <color rgb="FFFF0000"/>
      <name val="Arial"/>
    </font>
    <font>
      <b/>
      <sz val="10.0"/>
      <color rgb="FF1F497D"/>
      <name val="Arial"/>
    </font>
    <font>
      <b/>
      <color theme="1"/>
      <name val="Calibri"/>
      <scheme val="minor"/>
    </font>
    <font>
      <b/>
      <sz val="11.0"/>
      <color theme="1"/>
      <name val="Arial"/>
    </font>
    <font>
      <sz val="10.0"/>
      <color rgb="FFFF0000"/>
      <name val="Arial"/>
    </font>
    <font>
      <sz val="10.0"/>
      <color theme="1"/>
      <name val="Arial"/>
    </font>
    <font>
      <b/>
      <sz val="9.0"/>
      <color theme="1"/>
      <name val="Arial"/>
    </font>
    <font>
      <b/>
      <sz val="14.0"/>
      <color theme="1"/>
      <name val="Arial"/>
    </font>
    <font>
      <b/>
      <sz val="9.0"/>
      <color rgb="FF1F497D"/>
      <name val="Arial"/>
    </font>
    <font>
      <b/>
      <sz val="12.0"/>
      <color theme="1"/>
      <name val="Arial"/>
    </font>
    <font>
      <b/>
      <sz val="14.0"/>
      <color rgb="FFFF0000"/>
      <name val="Arial"/>
    </font>
    <font>
      <b/>
      <sz val="12.0"/>
      <color theme="1"/>
      <name val="Calibri"/>
    </font>
    <font>
      <sz val="12.0"/>
      <color theme="1"/>
      <name val="Calibri"/>
    </font>
    <font>
      <b/>
      <sz val="11.0"/>
      <color theme="1"/>
      <name val="Calibri"/>
    </font>
    <font>
      <sz val="11.0"/>
      <color theme="1"/>
      <name val="Calibri"/>
    </font>
    <font>
      <b/>
      <sz val="16.0"/>
      <color rgb="FF000000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b/>
      <sz val="14.0"/>
      <color rgb="FF000000"/>
      <name val="Calibri"/>
    </font>
    <font>
      <sz val="10.0"/>
      <color rgb="FF000000"/>
      <name val="Tahoma"/>
    </font>
    <font>
      <b/>
      <sz val="12.0"/>
      <color rgb="FF000000"/>
      <name val="Times New Roman"/>
    </font>
    <font>
      <sz val="11.0"/>
      <color rgb="FF000000"/>
      <name val="Calibri"/>
    </font>
    <font>
      <b/>
      <sz val="10.0"/>
      <color rgb="FF000000"/>
      <name val="Tahoma"/>
    </font>
    <font>
      <color theme="1"/>
      <name val="Arial"/>
    </font>
    <font>
      <sz val="11.0"/>
      <color rgb="FF000000"/>
      <name val="Times New Roman"/>
    </font>
    <font>
      <sz val="11.0"/>
      <color rgb="FF000000"/>
      <name val="Noto Sans Symbols"/>
    </font>
    <font>
      <b/>
      <color theme="1"/>
      <name val="Calibri"/>
    </font>
    <font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D85B"/>
        <bgColor rgb="FFFFD85B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FCD5B5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D9D9D9"/>
        <bgColor rgb="FFD9D9D9"/>
      </patternFill>
    </fill>
    <fill>
      <patternFill patternType="solid">
        <fgColor rgb="FF00FFFF"/>
        <bgColor rgb="FF00FFFF"/>
      </patternFill>
    </fill>
  </fills>
  <borders count="53">
    <border/>
    <border>
      <left/>
      <top/>
      <bottom/>
    </border>
    <border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/>
      <top/>
      <bottom/>
    </border>
  </borders>
  <cellStyleXfs count="1">
    <xf borderId="0" fillId="0" fontId="0" numFmtId="0" applyAlignment="1" applyFont="1"/>
  </cellStyleXfs>
  <cellXfs count="2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3" numFmtId="0" xfId="0" applyAlignment="1" applyBorder="1" applyFont="1">
      <alignment horizontal="left" readingOrder="0" shrinkToFit="0" vertical="center" wrapText="1"/>
    </xf>
    <xf borderId="4" fillId="0" fontId="2" numFmtId="0" xfId="0" applyBorder="1" applyFont="1"/>
    <xf borderId="5" fillId="0" fontId="2" numFmtId="0" xfId="0" applyBorder="1" applyFont="1"/>
    <xf borderId="3" fillId="0" fontId="4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left" shrinkToFit="0" vertical="center" wrapText="1"/>
    </xf>
    <xf borderId="3" fillId="0" fontId="5" numFmtId="0" xfId="0" applyAlignment="1" applyBorder="1" applyFont="1">
      <alignment horizontal="center" readingOrder="0" shrinkToFit="0" vertical="center" wrapText="1"/>
    </xf>
    <xf borderId="0" fillId="0" fontId="6" numFmtId="0" xfId="0" applyFont="1"/>
    <xf borderId="3" fillId="3" fontId="7" numFmtId="0" xfId="0" applyAlignment="1" applyBorder="1" applyFill="1" applyFont="1">
      <alignment horizontal="left" shrinkToFit="0" vertical="center" wrapText="1"/>
    </xf>
    <xf borderId="6" fillId="0" fontId="3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3" fillId="3" fontId="3" numFmtId="0" xfId="0" applyAlignment="1" applyBorder="1" applyFont="1">
      <alignment horizontal="center" vertical="center"/>
    </xf>
    <xf borderId="3" fillId="0" fontId="7" numFmtId="0" xfId="0" applyAlignment="1" applyBorder="1" applyFont="1">
      <alignment horizontal="center" shrinkToFit="0" vertical="center" wrapText="1"/>
    </xf>
    <xf borderId="3" fillId="0" fontId="5" numFmtId="164" xfId="0" applyAlignment="1" applyBorder="1" applyFont="1" applyNumberFormat="1">
      <alignment horizontal="center" vertical="center"/>
    </xf>
    <xf borderId="3" fillId="0" fontId="5" numFmtId="165" xfId="0" applyAlignment="1" applyBorder="1" applyFont="1" applyNumberFormat="1">
      <alignment horizontal="center" readingOrder="0" vertical="center"/>
    </xf>
    <xf borderId="3" fillId="0" fontId="5" numFmtId="164" xfId="0" applyAlignment="1" applyBorder="1" applyFont="1" applyNumberFormat="1">
      <alignment horizontal="center" shrinkToFit="0" vertical="center" wrapText="1"/>
    </xf>
    <xf borderId="3" fillId="3" fontId="8" numFmtId="0" xfId="0" applyAlignment="1" applyBorder="1" applyFont="1">
      <alignment horizontal="center" vertical="center"/>
    </xf>
    <xf borderId="3" fillId="0" fontId="9" numFmtId="0" xfId="0" applyAlignment="1" applyBorder="1" applyFont="1">
      <alignment horizontal="left" vertical="center"/>
    </xf>
    <xf borderId="3" fillId="3" fontId="3" numFmtId="0" xfId="0" applyAlignment="1" applyBorder="1" applyFont="1">
      <alignment horizontal="left" shrinkToFit="0" wrapText="1"/>
    </xf>
    <xf borderId="3" fillId="0" fontId="3" numFmtId="0" xfId="0" applyAlignment="1" applyBorder="1" applyFont="1">
      <alignment shrinkToFit="0" vertical="center" wrapText="1"/>
    </xf>
    <xf borderId="7" fillId="3" fontId="7" numFmtId="0" xfId="0" applyAlignment="1" applyBorder="1" applyFont="1">
      <alignment horizontal="center" shrinkToFit="0" vertical="center" wrapText="1"/>
    </xf>
    <xf borderId="3" fillId="3" fontId="7" numFmtId="0" xfId="0" applyAlignment="1" applyBorder="1" applyFont="1">
      <alignment horizontal="center" shrinkToFit="0" vertical="center" wrapText="1"/>
    </xf>
    <xf borderId="6" fillId="3" fontId="10" numFmtId="0" xfId="0" applyAlignment="1" applyBorder="1" applyFont="1">
      <alignment horizontal="center" shrinkToFit="0" vertical="center" wrapText="1"/>
    </xf>
    <xf borderId="7" fillId="3" fontId="7" numFmtId="0" xfId="0" applyAlignment="1" applyBorder="1" applyFont="1">
      <alignment horizontal="center" vertical="center"/>
    </xf>
    <xf borderId="6" fillId="4" fontId="3" numFmtId="0" xfId="0" applyAlignment="1" applyBorder="1" applyFill="1" applyFont="1">
      <alignment horizontal="center" shrinkToFit="0" vertical="center" wrapText="1"/>
    </xf>
    <xf borderId="5" fillId="0" fontId="3" numFmtId="0" xfId="0" applyAlignment="1" applyBorder="1" applyFont="1">
      <alignment vertical="center"/>
    </xf>
    <xf borderId="6" fillId="0" fontId="3" numFmtId="4" xfId="0" applyAlignment="1" applyBorder="1" applyFont="1" applyNumberFormat="1">
      <alignment vertical="center"/>
    </xf>
    <xf borderId="4" fillId="0" fontId="3" numFmtId="0" xfId="0" applyAlignment="1" applyBorder="1" applyFont="1">
      <alignment horizontal="left" shrinkToFit="0" vertical="center" wrapText="1"/>
    </xf>
    <xf borderId="6" fillId="0" fontId="3" numFmtId="10" xfId="0" applyAlignment="1" applyBorder="1" applyFont="1" applyNumberFormat="1">
      <alignment vertical="center"/>
    </xf>
    <xf borderId="3" fillId="5" fontId="3" numFmtId="0" xfId="0" applyAlignment="1" applyBorder="1" applyFill="1" applyFont="1">
      <alignment horizontal="right" shrinkToFit="0" vertical="center" wrapText="1"/>
    </xf>
    <xf borderId="6" fillId="5" fontId="7" numFmtId="4" xfId="0" applyAlignment="1" applyBorder="1" applyFont="1" applyNumberFormat="1">
      <alignment vertical="center"/>
    </xf>
    <xf borderId="3" fillId="0" fontId="3" numFmtId="0" xfId="0" applyAlignment="1" applyBorder="1" applyFont="1">
      <alignment horizontal="center" vertical="center"/>
    </xf>
    <xf borderId="6" fillId="3" fontId="7" numFmtId="0" xfId="0" applyAlignment="1" applyBorder="1" applyFont="1">
      <alignment horizontal="center" vertical="center"/>
    </xf>
    <xf borderId="6" fillId="3" fontId="7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vertical="center"/>
    </xf>
    <xf borderId="6" fillId="0" fontId="3" numFmtId="4" xfId="0" applyAlignment="1" applyBorder="1" applyFont="1" applyNumberFormat="1">
      <alignment horizontal="right" vertical="center"/>
    </xf>
    <xf borderId="3" fillId="0" fontId="10" numFmtId="0" xfId="0" applyAlignment="1" applyBorder="1" applyFont="1">
      <alignment horizontal="left" shrinkToFit="0" vertical="center" wrapText="1"/>
    </xf>
    <xf borderId="6" fillId="0" fontId="10" numFmtId="166" xfId="0" applyAlignment="1" applyBorder="1" applyFont="1" applyNumberFormat="1">
      <alignment readingOrder="0" vertical="center"/>
    </xf>
    <xf borderId="6" fillId="0" fontId="3" numFmtId="4" xfId="0" applyAlignment="1" applyBorder="1" applyFont="1" applyNumberFormat="1">
      <alignment horizontal="center" vertical="center"/>
    </xf>
    <xf borderId="6" fillId="0" fontId="10" numFmtId="4" xfId="0" applyAlignment="1" applyBorder="1" applyFont="1" applyNumberFormat="1">
      <alignment vertical="center"/>
    </xf>
    <xf borderId="3" fillId="6" fontId="3" numFmtId="0" xfId="0" applyAlignment="1" applyBorder="1" applyFill="1" applyFont="1">
      <alignment horizontal="left" shrinkToFit="0" vertical="center" wrapText="1"/>
    </xf>
    <xf borderId="3" fillId="6" fontId="10" numFmtId="0" xfId="0" applyAlignment="1" applyBorder="1" applyFont="1">
      <alignment horizontal="left" shrinkToFit="0" vertical="center" wrapText="1"/>
    </xf>
    <xf borderId="6" fillId="6" fontId="10" numFmtId="166" xfId="0" applyAlignment="1" applyBorder="1" applyFont="1" applyNumberFormat="1">
      <alignment readingOrder="0" vertical="center"/>
    </xf>
    <xf borderId="6" fillId="4" fontId="3" numFmtId="4" xfId="0" applyAlignment="1" applyBorder="1" applyFont="1" applyNumberFormat="1">
      <alignment horizontal="right" vertical="center"/>
    </xf>
    <xf borderId="6" fillId="4" fontId="3" numFmtId="4" xfId="0" applyAlignment="1" applyBorder="1" applyFont="1" applyNumberFormat="1">
      <alignment horizontal="right" shrinkToFit="0" vertical="center" wrapText="1"/>
    </xf>
    <xf borderId="6" fillId="0" fontId="3" numFmtId="4" xfId="0" applyAlignment="1" applyBorder="1" applyFont="1" applyNumberFormat="1">
      <alignment horizontal="right" shrinkToFit="0" vertical="center" wrapText="1"/>
    </xf>
    <xf borderId="6" fillId="4" fontId="3" numFmtId="4" xfId="0" applyAlignment="1" applyBorder="1" applyFont="1" applyNumberFormat="1">
      <alignment horizontal="right" readingOrder="0" shrinkToFit="0" vertical="center" wrapText="1"/>
    </xf>
    <xf borderId="6" fillId="0" fontId="3" numFmtId="4" xfId="0" applyAlignment="1" applyBorder="1" applyFont="1" applyNumberFormat="1">
      <alignment horizontal="right" readingOrder="0" vertical="center"/>
    </xf>
    <xf borderId="6" fillId="5" fontId="9" numFmtId="0" xfId="0" applyAlignment="1" applyBorder="1" applyFont="1">
      <alignment horizontal="center" vertical="center"/>
    </xf>
    <xf borderId="3" fillId="5" fontId="3" numFmtId="0" xfId="0" applyAlignment="1" applyBorder="1" applyFont="1">
      <alignment horizontal="right" vertical="center"/>
    </xf>
    <xf borderId="6" fillId="5" fontId="3" numFmtId="4" xfId="0" applyAlignment="1" applyBorder="1" applyFont="1" applyNumberFormat="1">
      <alignment horizontal="right" vertical="center"/>
    </xf>
    <xf borderId="3" fillId="3" fontId="11" numFmtId="0" xfId="0" applyAlignment="1" applyBorder="1" applyFont="1">
      <alignment horizontal="center" vertical="center"/>
    </xf>
    <xf borderId="3" fillId="0" fontId="9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shrinkToFit="0" vertical="center" wrapText="1"/>
    </xf>
    <xf borderId="6" fillId="3" fontId="10" numFmtId="0" xfId="0" applyAlignment="1" applyBorder="1" applyFont="1">
      <alignment horizontal="center" vertical="center"/>
    </xf>
    <xf borderId="6" fillId="5" fontId="3" numFmtId="4" xfId="0" applyAlignment="1" applyBorder="1" applyFont="1" applyNumberFormat="1">
      <alignment horizontal="right" shrinkToFit="0" vertical="center" wrapText="1"/>
    </xf>
    <xf borderId="8" fillId="3" fontId="7" numFmtId="0" xfId="0" applyAlignment="1" applyBorder="1" applyFont="1">
      <alignment horizontal="center" vertical="center"/>
    </xf>
    <xf borderId="6" fillId="4" fontId="3" numFmtId="10" xfId="0" applyAlignment="1" applyBorder="1" applyFont="1" applyNumberFormat="1">
      <alignment horizontal="right" vertical="center"/>
    </xf>
    <xf borderId="6" fillId="6" fontId="3" numFmtId="4" xfId="0" applyAlignment="1" applyBorder="1" applyFont="1" applyNumberFormat="1">
      <alignment horizontal="right" vertical="center"/>
    </xf>
    <xf borderId="6" fillId="0" fontId="3" numFmtId="10" xfId="0" applyAlignment="1" applyBorder="1" applyFont="1" applyNumberFormat="1">
      <alignment horizontal="right" vertical="center"/>
    </xf>
    <xf borderId="6" fillId="0" fontId="3" numFmtId="0" xfId="0" applyAlignment="1" applyBorder="1" applyFont="1">
      <alignment horizontal="right" shrinkToFit="0" vertical="center" wrapText="1"/>
    </xf>
    <xf borderId="6" fillId="4" fontId="3" numFmtId="9" xfId="0" applyAlignment="1" applyBorder="1" applyFont="1" applyNumberFormat="1">
      <alignment horizontal="center" shrinkToFit="0" vertical="center" wrapText="1"/>
    </xf>
    <xf borderId="6" fillId="4" fontId="3" numFmtId="167" xfId="0" applyAlignment="1" applyBorder="1" applyFont="1" applyNumberFormat="1">
      <alignment horizontal="center" shrinkToFit="0" vertical="center" wrapText="1"/>
    </xf>
    <xf borderId="6" fillId="0" fontId="3" numFmtId="168" xfId="0" applyAlignment="1" applyBorder="1" applyFont="1" applyNumberFormat="1">
      <alignment horizontal="right" vertical="center"/>
    </xf>
    <xf borderId="6" fillId="5" fontId="3" numFmtId="168" xfId="0" applyAlignment="1" applyBorder="1" applyFont="1" applyNumberFormat="1">
      <alignment horizontal="right" vertical="center"/>
    </xf>
    <xf borderId="3" fillId="7" fontId="3" numFmtId="0" xfId="0" applyAlignment="1" applyBorder="1" applyFill="1" applyFont="1">
      <alignment horizontal="left" shrinkToFit="0" vertical="center" wrapText="1"/>
    </xf>
    <xf borderId="6" fillId="5" fontId="3" numFmtId="2" xfId="0" applyAlignment="1" applyBorder="1" applyFont="1" applyNumberFormat="1">
      <alignment horizontal="right" vertical="center"/>
    </xf>
    <xf borderId="6" fillId="6" fontId="3" numFmtId="0" xfId="0" applyAlignment="1" applyBorder="1" applyFont="1">
      <alignment horizontal="right" vertical="center"/>
    </xf>
    <xf borderId="3" fillId="3" fontId="7" numFmtId="0" xfId="0" applyAlignment="1" applyBorder="1" applyFont="1">
      <alignment horizontal="center" vertical="center"/>
    </xf>
    <xf borderId="3" fillId="0" fontId="7" numFmtId="0" xfId="0" applyAlignment="1" applyBorder="1" applyFont="1">
      <alignment horizontal="center" vertical="center"/>
    </xf>
    <xf borderId="3" fillId="6" fontId="3" numFmtId="0" xfId="0" applyAlignment="1" applyBorder="1" applyFont="1">
      <alignment horizontal="left" vertical="center"/>
    </xf>
    <xf borderId="6" fillId="3" fontId="7" numFmtId="0" xfId="0" applyAlignment="1" applyBorder="1" applyFont="1">
      <alignment horizontal="center"/>
    </xf>
    <xf borderId="6" fillId="0" fontId="3" numFmtId="0" xfId="0" applyAlignment="1" applyBorder="1" applyFont="1">
      <alignment horizontal="center"/>
    </xf>
    <xf borderId="6" fillId="6" fontId="3" numFmtId="4" xfId="0" applyBorder="1" applyFont="1" applyNumberFormat="1"/>
    <xf borderId="6" fillId="6" fontId="3" numFmtId="4" xfId="0" applyAlignment="1" applyBorder="1" applyFont="1" applyNumberFormat="1">
      <alignment horizontal="right"/>
    </xf>
    <xf borderId="6" fillId="5" fontId="3" numFmtId="4" xfId="0" applyAlignment="1" applyBorder="1" applyFont="1" applyNumberFormat="1">
      <alignment horizontal="right"/>
    </xf>
    <xf borderId="6" fillId="0" fontId="9" numFmtId="0" xfId="0" applyAlignment="1" applyBorder="1" applyFont="1">
      <alignment horizontal="center"/>
    </xf>
    <xf borderId="6" fillId="0" fontId="3" numFmtId="4" xfId="0" applyAlignment="1" applyBorder="1" applyFont="1" applyNumberFormat="1">
      <alignment horizontal="right"/>
    </xf>
    <xf borderId="6" fillId="3" fontId="7" numFmtId="4" xfId="0" applyAlignment="1" applyBorder="1" applyFont="1" applyNumberFormat="1">
      <alignment horizontal="center" vertical="center"/>
    </xf>
    <xf borderId="3" fillId="2" fontId="3" numFmtId="0" xfId="0" applyAlignment="1" applyBorder="1" applyFont="1">
      <alignment horizontal="left" shrinkToFit="0" vertical="center" wrapText="1"/>
    </xf>
    <xf borderId="6" fillId="0" fontId="4" numFmtId="0" xfId="0" applyAlignment="1" applyBorder="1" applyFont="1">
      <alignment horizontal="center" vertical="center"/>
    </xf>
    <xf borderId="6" fillId="0" fontId="4" numFmtId="4" xfId="0" applyAlignment="1" applyBorder="1" applyFont="1" applyNumberFormat="1">
      <alignment horizontal="right" vertical="center"/>
    </xf>
    <xf borderId="3" fillId="0" fontId="3" numFmtId="0" xfId="0" applyAlignment="1" applyBorder="1" applyFont="1">
      <alignment horizontal="left" vertical="center"/>
    </xf>
    <xf borderId="6" fillId="0" fontId="4" numFmtId="10" xfId="0" applyAlignment="1" applyBorder="1" applyFont="1" applyNumberFormat="1">
      <alignment horizontal="center" vertical="center"/>
    </xf>
    <xf borderId="6" fillId="4" fontId="3" numFmtId="168" xfId="0" applyAlignment="1" applyBorder="1" applyFont="1" applyNumberFormat="1">
      <alignment horizontal="right" vertical="center"/>
    </xf>
    <xf borderId="3" fillId="0" fontId="4" numFmtId="0" xfId="0" applyAlignment="1" applyBorder="1" applyFont="1">
      <alignment horizontal="left" shrinkToFit="0" vertical="center" wrapText="1"/>
    </xf>
    <xf borderId="6" fillId="0" fontId="3" numFmtId="10" xfId="0" applyAlignment="1" applyBorder="1" applyFont="1" applyNumberFormat="1">
      <alignment horizontal="center" vertical="center"/>
    </xf>
    <xf borderId="3" fillId="0" fontId="9" numFmtId="0" xfId="0" applyAlignment="1" applyBorder="1" applyFont="1">
      <alignment horizontal="left" shrinkToFit="0" vertical="center" wrapText="1"/>
    </xf>
    <xf borderId="6" fillId="4" fontId="3" numFmtId="10" xfId="0" applyAlignment="1" applyBorder="1" applyFont="1" applyNumberFormat="1">
      <alignment horizontal="right" shrinkToFit="0" vertical="center" wrapText="1"/>
    </xf>
    <xf borderId="6" fillId="0" fontId="3" numFmtId="10" xfId="0" applyAlignment="1" applyBorder="1" applyFont="1" applyNumberFormat="1">
      <alignment horizontal="center" shrinkToFit="0" vertical="center" wrapText="1"/>
    </xf>
    <xf borderId="9" fillId="0" fontId="5" numFmtId="0" xfId="0" applyAlignment="1" applyBorder="1" applyFont="1">
      <alignment horizontal="center" vertical="center"/>
    </xf>
    <xf borderId="0" fillId="0" fontId="12" numFmtId="0" xfId="0" applyAlignment="1" applyFont="1">
      <alignment horizontal="left" vertical="center"/>
    </xf>
    <xf borderId="9" fillId="0" fontId="2" numFmtId="0" xfId="0" applyBorder="1" applyFont="1"/>
    <xf borderId="0" fillId="0" fontId="12" numFmtId="0" xfId="0" applyAlignment="1" applyFont="1">
      <alignment horizontal="center" vertical="center"/>
    </xf>
    <xf borderId="10" fillId="0" fontId="2" numFmtId="0" xfId="0" applyBorder="1" applyFont="1"/>
    <xf borderId="11" fillId="0" fontId="2" numFmtId="0" xfId="0" applyBorder="1" applyFont="1"/>
    <xf borderId="11" fillId="0" fontId="12" numFmtId="0" xfId="0" applyAlignment="1" applyBorder="1" applyFont="1">
      <alignment horizontal="left" vertical="center"/>
    </xf>
    <xf borderId="3" fillId="0" fontId="13" numFmtId="49" xfId="0" applyAlignment="1" applyBorder="1" applyFont="1" applyNumberFormat="1">
      <alignment horizontal="center" shrinkToFit="0" vertical="center" wrapText="1"/>
    </xf>
    <xf borderId="6" fillId="3" fontId="3" numFmtId="0" xfId="0" applyAlignment="1" applyBorder="1" applyFont="1">
      <alignment horizontal="center" shrinkToFit="0" vertical="center" wrapText="1"/>
    </xf>
    <xf borderId="6" fillId="0" fontId="3" numFmtId="49" xfId="0" applyAlignment="1" applyBorder="1" applyFont="1" applyNumberFormat="1">
      <alignment horizontal="center" shrinkToFit="0" vertical="center" wrapText="1"/>
    </xf>
    <xf borderId="3" fillId="5" fontId="3" numFmtId="49" xfId="0" applyAlignment="1" applyBorder="1" applyFont="1" applyNumberFormat="1">
      <alignment horizontal="right" shrinkToFit="0" vertical="center" wrapText="1"/>
    </xf>
    <xf borderId="3" fillId="0" fontId="11" numFmtId="0" xfId="0" applyAlignment="1" applyBorder="1" applyFont="1">
      <alignment horizontal="center" vertical="center"/>
    </xf>
    <xf borderId="3" fillId="0" fontId="11" numFmtId="0" xfId="0" applyAlignment="1" applyBorder="1" applyFont="1">
      <alignment horizontal="left" shrinkToFit="0" vertical="center" wrapText="1"/>
    </xf>
    <xf borderId="3" fillId="0" fontId="14" numFmtId="164" xfId="0" applyAlignment="1" applyBorder="1" applyFont="1" applyNumberFormat="1">
      <alignment horizontal="center" shrinkToFit="0" vertical="center" wrapText="1"/>
    </xf>
    <xf borderId="3" fillId="0" fontId="14" numFmtId="0" xfId="0" applyAlignment="1" applyBorder="1" applyFont="1">
      <alignment horizontal="center" shrinkToFit="0" vertical="center" wrapText="1"/>
    </xf>
    <xf borderId="3" fillId="0" fontId="14" numFmtId="164" xfId="0" applyAlignment="1" applyBorder="1" applyFont="1" applyNumberFormat="1">
      <alignment horizontal="center" vertical="center"/>
    </xf>
    <xf borderId="3" fillId="0" fontId="10" numFmtId="0" xfId="0" applyAlignment="1" applyBorder="1" applyFont="1">
      <alignment horizontal="left" vertical="top"/>
    </xf>
    <xf borderId="12" fillId="3" fontId="3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2" fillId="3" fontId="3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3" fillId="0" fontId="9" numFmtId="0" xfId="0" applyAlignment="1" applyBorder="1" applyFont="1">
      <alignment horizontal="center" readingOrder="0"/>
    </xf>
    <xf borderId="3" fillId="0" fontId="9" numFmtId="0" xfId="0" applyAlignment="1" applyBorder="1" applyFont="1">
      <alignment horizontal="center"/>
    </xf>
    <xf borderId="12" fillId="3" fontId="3" numFmtId="0" xfId="0" applyAlignment="1" applyBorder="1" applyFont="1">
      <alignment horizontal="center"/>
    </xf>
    <xf borderId="16" fillId="0" fontId="15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0" fontId="2" numFmtId="0" xfId="0" applyBorder="1" applyFont="1"/>
    <xf borderId="0" fillId="0" fontId="16" numFmtId="0" xfId="0" applyFont="1"/>
    <xf borderId="19" fillId="0" fontId="15" numFmtId="0" xfId="0" applyAlignment="1" applyBorder="1" applyFont="1">
      <alignment horizontal="center" shrinkToFit="0" vertical="center" wrapText="1"/>
    </xf>
    <xf borderId="20" fillId="0" fontId="2" numFmtId="0" xfId="0" applyBorder="1" applyFont="1"/>
    <xf borderId="19" fillId="0" fontId="15" numFmtId="0" xfId="0" applyAlignment="1" applyBorder="1" applyFont="1">
      <alignment horizontal="left" readingOrder="0" shrinkToFit="0" vertical="center" wrapText="1"/>
    </xf>
    <xf borderId="21" fillId="0" fontId="15" numFmtId="0" xfId="0" applyAlignment="1" applyBorder="1" applyFont="1">
      <alignment horizontal="left" readingOrder="0" shrinkToFit="0" vertical="center" wrapText="1"/>
    </xf>
    <xf borderId="22" fillId="0" fontId="2" numFmtId="0" xfId="0" applyBorder="1" applyFont="1"/>
    <xf borderId="23" fillId="0" fontId="2" numFmtId="0" xfId="0" applyBorder="1" applyFont="1"/>
    <xf borderId="24" fillId="0" fontId="17" numFmtId="0" xfId="0" applyAlignment="1" applyBorder="1" applyFont="1">
      <alignment horizontal="center"/>
    </xf>
    <xf borderId="25" fillId="0" fontId="2" numFmtId="0" xfId="0" applyBorder="1" applyFont="1"/>
    <xf borderId="26" fillId="0" fontId="17" numFmtId="0" xfId="0" applyAlignment="1" applyBorder="1" applyFont="1">
      <alignment horizontal="center" shrinkToFit="0" vertical="top" wrapText="1"/>
    </xf>
    <xf borderId="26" fillId="0" fontId="17" numFmtId="0" xfId="0" applyAlignment="1" applyBorder="1" applyFont="1">
      <alignment horizontal="center" vertical="center"/>
    </xf>
    <xf borderId="26" fillId="0" fontId="17" numFmtId="166" xfId="0" applyAlignment="1" applyBorder="1" applyFont="1" applyNumberFormat="1">
      <alignment horizontal="center" shrinkToFit="0" vertical="center" wrapText="1"/>
    </xf>
    <xf borderId="18" fillId="0" fontId="17" numFmtId="166" xfId="0" applyAlignment="1" applyBorder="1" applyFont="1" applyNumberFormat="1">
      <alignment horizontal="center" vertical="center"/>
    </xf>
    <xf borderId="0" fillId="0" fontId="15" numFmtId="0" xfId="0" applyFont="1"/>
    <xf borderId="27" fillId="0" fontId="17" numFmtId="0" xfId="0" applyAlignment="1" applyBorder="1" applyFont="1">
      <alignment horizontal="center" shrinkToFit="0" vertical="center" wrapText="1"/>
    </xf>
    <xf borderId="28" fillId="0" fontId="17" numFmtId="0" xfId="0" applyAlignment="1" applyBorder="1" applyFont="1">
      <alignment horizontal="center" vertical="center"/>
    </xf>
    <xf borderId="28" fillId="0" fontId="18" numFmtId="166" xfId="0" applyAlignment="1" applyBorder="1" applyFont="1" applyNumberFormat="1">
      <alignment horizontal="center" vertical="center"/>
    </xf>
    <xf borderId="29" fillId="0" fontId="18" numFmtId="166" xfId="0" applyAlignment="1" applyBorder="1" applyFont="1" applyNumberForma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32" fillId="0" fontId="2" numFmtId="0" xfId="0" applyBorder="1" applyFont="1"/>
    <xf borderId="33" fillId="0" fontId="15" numFmtId="0" xfId="0" applyAlignment="1" applyBorder="1" applyFont="1">
      <alignment horizontal="center" vertical="center"/>
    </xf>
    <xf borderId="34" fillId="0" fontId="2" numFmtId="0" xfId="0" applyBorder="1" applyFont="1"/>
    <xf borderId="35" fillId="0" fontId="2" numFmtId="0" xfId="0" applyBorder="1" applyFont="1"/>
    <xf borderId="36" fillId="0" fontId="15" numFmtId="166" xfId="0" applyAlignment="1" applyBorder="1" applyFont="1" applyNumberFormat="1">
      <alignment horizontal="center" vertical="center"/>
    </xf>
    <xf borderId="0" fillId="0" fontId="15" numFmtId="0" xfId="0" applyAlignment="1" applyFont="1">
      <alignment horizontal="center"/>
    </xf>
    <xf borderId="0" fillId="0" fontId="15" numFmtId="166" xfId="0" applyAlignment="1" applyFont="1" applyNumberFormat="1">
      <alignment horizontal="center"/>
    </xf>
    <xf borderId="37" fillId="0" fontId="15" numFmtId="0" xfId="0" applyAlignment="1" applyBorder="1" applyFont="1">
      <alignment horizontal="center" shrinkToFit="0" vertical="center" wrapText="1"/>
    </xf>
    <xf borderId="38" fillId="0" fontId="15" numFmtId="0" xfId="0" applyAlignment="1" applyBorder="1" applyFont="1">
      <alignment horizontal="center" shrinkToFit="0" vertical="center" wrapText="1"/>
    </xf>
    <xf borderId="39" fillId="0" fontId="16" numFmtId="0" xfId="0" applyAlignment="1" applyBorder="1" applyFont="1">
      <alignment horizontal="center" vertical="center"/>
    </xf>
    <xf borderId="6" fillId="0" fontId="16" numFmtId="0" xfId="0" applyAlignment="1" applyBorder="1" applyFont="1">
      <alignment horizontal="center" shrinkToFit="0" vertical="center" wrapText="1"/>
    </xf>
    <xf borderId="6" fillId="0" fontId="16" numFmtId="0" xfId="0" applyAlignment="1" applyBorder="1" applyFont="1">
      <alignment horizontal="center" vertical="center"/>
    </xf>
    <xf borderId="6" fillId="0" fontId="16" numFmtId="166" xfId="0" applyBorder="1" applyFont="1" applyNumberFormat="1"/>
    <xf borderId="40" fillId="0" fontId="15" numFmtId="0" xfId="0" applyBorder="1" applyFont="1"/>
    <xf borderId="41" fillId="0" fontId="15" numFmtId="0" xfId="0" applyAlignment="1" applyBorder="1" applyFont="1">
      <alignment horizontal="center"/>
    </xf>
    <xf borderId="42" fillId="0" fontId="2" numFmtId="0" xfId="0" applyBorder="1" applyFont="1"/>
    <xf borderId="43" fillId="0" fontId="15" numFmtId="0" xfId="0" applyAlignment="1" applyBorder="1" applyFont="1">
      <alignment horizontal="center" vertical="center"/>
    </xf>
    <xf borderId="43" fillId="0" fontId="15" numFmtId="166" xfId="0" applyBorder="1" applyFont="1" applyNumberFormat="1"/>
    <xf borderId="3" fillId="3" fontId="19" numFmtId="0" xfId="0" applyAlignment="1" applyBorder="1" applyFont="1">
      <alignment horizontal="center" shrinkToFit="0" vertical="center" wrapText="1"/>
    </xf>
    <xf borderId="3" fillId="3" fontId="20" numFmtId="0" xfId="0" applyAlignment="1" applyBorder="1" applyFont="1">
      <alignment horizontal="center" shrinkToFit="0" vertical="center" wrapText="1"/>
    </xf>
    <xf borderId="6" fillId="3" fontId="21" numFmtId="0" xfId="0" applyAlignment="1" applyBorder="1" applyFont="1">
      <alignment horizontal="center" shrinkToFit="0" vertical="center" wrapText="1"/>
    </xf>
    <xf borderId="3" fillId="3" fontId="21" numFmtId="0" xfId="0" applyAlignment="1" applyBorder="1" applyFont="1">
      <alignment horizontal="center" shrinkToFit="0" vertical="center" wrapText="1"/>
    </xf>
    <xf borderId="6" fillId="3" fontId="21" numFmtId="166" xfId="0" applyAlignment="1" applyBorder="1" applyFont="1" applyNumberFormat="1">
      <alignment shrinkToFit="0" vertical="center" wrapText="1"/>
    </xf>
    <xf borderId="6" fillId="3" fontId="21" numFmtId="166" xfId="0" applyAlignment="1" applyBorder="1" applyFont="1" applyNumberFormat="1">
      <alignment horizontal="center" shrinkToFit="0" vertical="center" wrapText="1"/>
    </xf>
    <xf borderId="3" fillId="3" fontId="22" numFmtId="0" xfId="0" applyAlignment="1" applyBorder="1" applyFont="1">
      <alignment horizontal="center" shrinkToFit="0" vertical="center" wrapText="1"/>
    </xf>
    <xf borderId="6" fillId="3" fontId="20" numFmtId="166" xfId="0" applyAlignment="1" applyBorder="1" applyFont="1" applyNumberFormat="1">
      <alignment horizontal="center" shrinkToFit="0" vertical="center" wrapText="1"/>
    </xf>
    <xf borderId="0" fillId="0" fontId="23" numFmtId="0" xfId="0" applyAlignment="1" applyFont="1">
      <alignment horizontal="left"/>
    </xf>
    <xf borderId="44" fillId="8" fontId="24" numFmtId="0" xfId="0" applyAlignment="1" applyBorder="1" applyFill="1" applyFont="1">
      <alignment horizontal="center" vertical="center"/>
    </xf>
    <xf borderId="45" fillId="0" fontId="2" numFmtId="0" xfId="0" applyBorder="1" applyFont="1"/>
    <xf borderId="46" fillId="0" fontId="2" numFmtId="0" xfId="0" applyBorder="1" applyFont="1"/>
    <xf borderId="0" fillId="0" fontId="25" numFmtId="0" xfId="0" applyFont="1"/>
    <xf borderId="47" fillId="8" fontId="24" numFmtId="0" xfId="0" applyAlignment="1" applyBorder="1" applyFont="1">
      <alignment horizontal="center" shrinkToFit="0" vertical="center" wrapText="1"/>
    </xf>
    <xf borderId="48" fillId="0" fontId="2" numFmtId="0" xfId="0" applyBorder="1" applyFont="1"/>
    <xf borderId="49" fillId="0" fontId="2" numFmtId="0" xfId="0" applyBorder="1" applyFont="1"/>
    <xf borderId="0" fillId="0" fontId="23" numFmtId="0" xfId="0" applyAlignment="1" applyFont="1">
      <alignment horizontal="left" vertical="center"/>
    </xf>
    <xf borderId="0" fillId="0" fontId="26" numFmtId="0" xfId="0" applyAlignment="1" applyFont="1">
      <alignment horizontal="left" vertical="center"/>
    </xf>
    <xf borderId="3" fillId="0" fontId="26" numFmtId="0" xfId="0" applyAlignment="1" applyBorder="1" applyFont="1">
      <alignment horizontal="center"/>
    </xf>
    <xf borderId="0" fillId="0" fontId="26" numFmtId="0" xfId="0" applyAlignment="1" applyFont="1">
      <alignment horizontal="left"/>
    </xf>
    <xf borderId="50" fillId="0" fontId="26" numFmtId="0" xfId="0" applyAlignment="1" applyBorder="1" applyFont="1">
      <alignment horizontal="center" shrinkToFit="0" vertical="center" wrapText="1"/>
    </xf>
    <xf borderId="23" fillId="0" fontId="26" numFmtId="0" xfId="0" applyAlignment="1" applyBorder="1" applyFont="1">
      <alignment horizontal="center" shrinkToFit="0" vertical="center" wrapText="1"/>
    </xf>
    <xf borderId="23" fillId="0" fontId="23" numFmtId="0" xfId="0" applyAlignment="1" applyBorder="1" applyFont="1">
      <alignment horizontal="left" shrinkToFit="0" vertical="center" wrapText="1"/>
    </xf>
    <xf borderId="23" fillId="0" fontId="23" numFmtId="4" xfId="0" applyAlignment="1" applyBorder="1" applyFont="1" applyNumberFormat="1">
      <alignment horizontal="right" shrinkToFit="0" vertical="center" wrapText="1"/>
    </xf>
    <xf borderId="23" fillId="0" fontId="23" numFmtId="49" xfId="0" applyAlignment="1" applyBorder="1" applyFont="1" applyNumberFormat="1">
      <alignment horizontal="center" shrinkToFit="0" vertical="center" wrapText="1"/>
    </xf>
    <xf borderId="23" fillId="0" fontId="23" numFmtId="2" xfId="0" applyAlignment="1" applyBorder="1" applyFont="1" applyNumberFormat="1">
      <alignment horizontal="right" shrinkToFit="0" vertical="center" wrapText="1"/>
    </xf>
    <xf borderId="51" fillId="0" fontId="26" numFmtId="0" xfId="0" applyAlignment="1" applyBorder="1" applyFont="1">
      <alignment horizontal="center" shrinkToFit="0" vertical="center" wrapText="1"/>
    </xf>
    <xf borderId="18" fillId="0" fontId="23" numFmtId="0" xfId="0" applyAlignment="1" applyBorder="1" applyFont="1">
      <alignment horizontal="left" shrinkToFit="0" vertical="center" wrapText="1"/>
    </xf>
    <xf borderId="18" fillId="0" fontId="23" numFmtId="4" xfId="0" applyAlignment="1" applyBorder="1" applyFont="1" applyNumberFormat="1">
      <alignment horizontal="right" shrinkToFit="0" vertical="center" wrapText="1"/>
    </xf>
    <xf borderId="20" fillId="0" fontId="23" numFmtId="49" xfId="0" applyAlignment="1" applyBorder="1" applyFont="1" applyNumberFormat="1">
      <alignment horizontal="center" shrinkToFit="0" vertical="center" wrapText="1"/>
    </xf>
    <xf borderId="20" fillId="0" fontId="23" numFmtId="2" xfId="0" applyAlignment="1" applyBorder="1" applyFont="1" applyNumberFormat="1">
      <alignment horizontal="right" shrinkToFit="0" vertical="center" wrapText="1"/>
    </xf>
    <xf borderId="6" fillId="0" fontId="26" numFmtId="0" xfId="0" applyAlignment="1" applyBorder="1" applyFont="1">
      <alignment horizontal="center" shrinkToFit="0" vertical="center" wrapText="1"/>
    </xf>
    <xf borderId="6" fillId="0" fontId="23" numFmtId="0" xfId="0" applyAlignment="1" applyBorder="1" applyFont="1">
      <alignment horizontal="left" shrinkToFit="0" vertical="center" wrapText="1"/>
    </xf>
    <xf borderId="6" fillId="0" fontId="23" numFmtId="4" xfId="0" applyAlignment="1" applyBorder="1" applyFont="1" applyNumberFormat="1">
      <alignment horizontal="right" shrinkToFit="0" vertical="center" wrapText="1"/>
    </xf>
    <xf borderId="6" fillId="0" fontId="23" numFmtId="49" xfId="0" applyAlignment="1" applyBorder="1" applyFont="1" applyNumberFormat="1">
      <alignment horizontal="center" shrinkToFit="0" vertical="center" wrapText="1"/>
    </xf>
    <xf borderId="6" fillId="0" fontId="23" numFmtId="2" xfId="0" applyAlignment="1" applyBorder="1" applyFont="1" applyNumberFormat="1">
      <alignment horizontal="right" shrinkToFit="0" vertical="center" wrapText="1"/>
    </xf>
    <xf borderId="0" fillId="0" fontId="26" numFmtId="0" xfId="0" applyAlignment="1" applyFont="1">
      <alignment horizontal="center" shrinkToFit="0" vertical="center" wrapText="1"/>
    </xf>
    <xf borderId="19" fillId="0" fontId="26" numFmtId="0" xfId="0" applyAlignment="1" applyBorder="1" applyFont="1">
      <alignment horizontal="center" shrinkToFit="0" vertical="center" wrapText="1"/>
    </xf>
    <xf borderId="35" fillId="0" fontId="26" numFmtId="166" xfId="0" applyAlignment="1" applyBorder="1" applyFont="1" applyNumberFormat="1">
      <alignment horizontal="left" shrinkToFit="0" vertical="center" wrapText="1"/>
    </xf>
    <xf borderId="13" fillId="0" fontId="26" numFmtId="0" xfId="0" applyAlignment="1" applyBorder="1" applyFont="1">
      <alignment horizontal="center" shrinkToFit="0" vertical="center" wrapText="1"/>
    </xf>
    <xf borderId="0" fillId="0" fontId="26" numFmtId="166" xfId="0" applyAlignment="1" applyFont="1" applyNumberFormat="1">
      <alignment horizontal="left" shrinkToFit="0" vertical="center" wrapText="1"/>
    </xf>
    <xf borderId="0" fillId="0" fontId="26" numFmtId="0" xfId="0" applyAlignment="1" applyFont="1">
      <alignment horizontal="center"/>
    </xf>
    <xf borderId="36" fillId="0" fontId="26" numFmtId="0" xfId="0" applyAlignment="1" applyBorder="1" applyFont="1">
      <alignment horizontal="center" shrinkToFit="0" vertical="center" wrapText="1"/>
    </xf>
    <xf borderId="0" fillId="0" fontId="27" numFmtId="0" xfId="0" applyAlignment="1" applyFont="1">
      <alignment horizontal="right" vertical="bottom"/>
    </xf>
    <xf borderId="0" fillId="9" fontId="28" numFmtId="0" xfId="0" applyAlignment="1" applyFill="1" applyFont="1">
      <alignment readingOrder="0" vertical="bottom"/>
    </xf>
    <xf borderId="0" fillId="9" fontId="27" numFmtId="4" xfId="0" applyAlignment="1" applyFont="1" applyNumberFormat="1">
      <alignment horizontal="right" readingOrder="0" vertical="bottom"/>
    </xf>
    <xf borderId="31" fillId="0" fontId="23" numFmtId="49" xfId="0" applyAlignment="1" applyBorder="1" applyFont="1" applyNumberFormat="1">
      <alignment horizontal="center" shrinkToFit="0" vertical="center" wrapText="1"/>
    </xf>
    <xf borderId="31" fillId="0" fontId="23" numFmtId="2" xfId="0" applyAlignment="1" applyBorder="1" applyFont="1" applyNumberFormat="1">
      <alignment horizontal="right" shrinkToFit="0" vertical="center" wrapText="1"/>
    </xf>
    <xf borderId="6" fillId="0" fontId="27" numFmtId="0" xfId="0" applyAlignment="1" applyBorder="1" applyFont="1">
      <alignment horizontal="right" vertical="bottom"/>
    </xf>
    <xf borderId="6" fillId="9" fontId="28" numFmtId="0" xfId="0" applyAlignment="1" applyBorder="1" applyFont="1">
      <alignment vertical="bottom"/>
    </xf>
    <xf borderId="6" fillId="9" fontId="27" numFmtId="4" xfId="0" applyAlignment="1" applyBorder="1" applyFont="1" applyNumberFormat="1">
      <alignment horizontal="right" readingOrder="0" vertical="bottom"/>
    </xf>
    <xf borderId="6" fillId="9" fontId="28" numFmtId="0" xfId="0" applyAlignment="1" applyBorder="1" applyFont="1">
      <alignment shrinkToFit="0" vertical="bottom" wrapText="1"/>
    </xf>
    <xf borderId="6" fillId="9" fontId="29" numFmtId="0" xfId="0" applyAlignment="1" applyBorder="1" applyFont="1">
      <alignment readingOrder="0" vertical="bottom"/>
    </xf>
    <xf borderId="6" fillId="9" fontId="29" numFmtId="0" xfId="0" applyAlignment="1" applyBorder="1" applyFont="1">
      <alignment vertical="bottom"/>
    </xf>
    <xf borderId="6" fillId="9" fontId="27" numFmtId="4" xfId="0" applyAlignment="1" applyBorder="1" applyFont="1" applyNumberFormat="1">
      <alignment horizontal="right" vertical="bottom"/>
    </xf>
    <xf borderId="52" fillId="6" fontId="25" numFmtId="0" xfId="0" applyBorder="1" applyFont="1"/>
    <xf borderId="11" fillId="0" fontId="30" numFmtId="0" xfId="0" applyBorder="1" applyFont="1"/>
    <xf borderId="6" fillId="0" fontId="30" numFmtId="2" xfId="0" applyBorder="1" applyFont="1" applyNumberFormat="1"/>
    <xf borderId="0" fillId="0" fontId="31" numFmtId="4" xfId="0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17.14"/>
    <col customWidth="1" min="3" max="3" width="15.14"/>
    <col customWidth="1" min="4" max="4" width="10.14"/>
    <col customWidth="1" min="5" max="5" width="12.43"/>
    <col customWidth="1" min="6" max="6" width="11.29"/>
    <col customWidth="1" min="7" max="7" width="9.86"/>
    <col customWidth="1" min="8" max="8" width="12.43"/>
    <col customWidth="1" min="9" max="9" width="10.86"/>
    <col customWidth="1" min="10" max="26" width="8.71"/>
  </cols>
  <sheetData>
    <row r="1" ht="49.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5.0" customHeight="1">
      <c r="A2" s="3" t="s">
        <v>1</v>
      </c>
      <c r="B2" s="4"/>
      <c r="C2" s="4"/>
      <c r="D2" s="4"/>
      <c r="E2" s="5"/>
      <c r="F2" s="6"/>
      <c r="G2" s="4"/>
      <c r="H2" s="4"/>
      <c r="I2" s="5"/>
    </row>
    <row r="3" ht="15.0" customHeight="1">
      <c r="A3" s="7" t="s">
        <v>2</v>
      </c>
      <c r="B3" s="4"/>
      <c r="C3" s="4"/>
      <c r="D3" s="4"/>
      <c r="E3" s="5"/>
      <c r="F3" s="8" t="s">
        <v>3</v>
      </c>
      <c r="G3" s="4"/>
      <c r="H3" s="4"/>
      <c r="I3" s="5"/>
    </row>
    <row r="4" ht="15.0" customHeight="1">
      <c r="A4" s="3" t="s">
        <v>4</v>
      </c>
      <c r="B4" s="4"/>
      <c r="C4" s="4"/>
      <c r="D4" s="4"/>
      <c r="E4" s="4"/>
      <c r="F4" s="4"/>
      <c r="G4" s="4"/>
      <c r="H4" s="4"/>
      <c r="I4" s="5"/>
      <c r="P4" s="9"/>
    </row>
    <row r="5" ht="15.0" customHeight="1">
      <c r="A5" s="10" t="s">
        <v>5</v>
      </c>
      <c r="B5" s="4"/>
      <c r="C5" s="4"/>
      <c r="D5" s="4"/>
      <c r="E5" s="4"/>
      <c r="F5" s="4"/>
      <c r="G5" s="4"/>
      <c r="H5" s="4"/>
      <c r="I5" s="5"/>
    </row>
    <row r="6" ht="15.0" customHeight="1">
      <c r="A6" s="11" t="s">
        <v>6</v>
      </c>
      <c r="B6" s="7" t="s">
        <v>7</v>
      </c>
      <c r="C6" s="4"/>
      <c r="D6" s="4"/>
      <c r="E6" s="4"/>
      <c r="F6" s="4"/>
      <c r="G6" s="5"/>
      <c r="H6" s="8" t="s">
        <v>8</v>
      </c>
      <c r="I6" s="5"/>
    </row>
    <row r="7" ht="15.0" customHeight="1">
      <c r="A7" s="11" t="s">
        <v>9</v>
      </c>
      <c r="B7" s="7" t="s">
        <v>10</v>
      </c>
      <c r="C7" s="4"/>
      <c r="D7" s="4"/>
      <c r="E7" s="4"/>
      <c r="F7" s="4"/>
      <c r="G7" s="5"/>
      <c r="H7" s="12" t="s">
        <v>11</v>
      </c>
      <c r="I7" s="5"/>
    </row>
    <row r="8" ht="26.25" customHeight="1">
      <c r="A8" s="11" t="s">
        <v>12</v>
      </c>
      <c r="B8" s="7" t="s">
        <v>13</v>
      </c>
      <c r="C8" s="4"/>
      <c r="D8" s="4"/>
      <c r="E8" s="4"/>
      <c r="F8" s="4"/>
      <c r="G8" s="5"/>
      <c r="H8" s="8" t="s">
        <v>14</v>
      </c>
      <c r="I8" s="5"/>
    </row>
    <row r="9" ht="15.0" customHeight="1">
      <c r="A9" s="11" t="s">
        <v>15</v>
      </c>
      <c r="B9" s="7" t="s">
        <v>16</v>
      </c>
      <c r="C9" s="4"/>
      <c r="D9" s="4"/>
      <c r="E9" s="4"/>
      <c r="F9" s="4"/>
      <c r="G9" s="5"/>
      <c r="H9" s="12">
        <v>12.0</v>
      </c>
      <c r="I9" s="5"/>
    </row>
    <row r="10">
      <c r="A10" s="13"/>
      <c r="B10" s="4"/>
      <c r="C10" s="4"/>
      <c r="D10" s="4"/>
      <c r="E10" s="4"/>
      <c r="F10" s="4"/>
      <c r="G10" s="4"/>
      <c r="H10" s="4"/>
      <c r="I10" s="5"/>
    </row>
    <row r="11" ht="15.0" customHeight="1">
      <c r="A11" s="14" t="s">
        <v>17</v>
      </c>
      <c r="B11" s="4"/>
      <c r="C11" s="4"/>
      <c r="D11" s="4"/>
      <c r="E11" s="4"/>
      <c r="F11" s="4"/>
      <c r="G11" s="4"/>
      <c r="H11" s="4"/>
      <c r="I11" s="5"/>
    </row>
    <row r="12" ht="15.0" customHeight="1">
      <c r="A12" s="10" t="s">
        <v>18</v>
      </c>
      <c r="B12" s="4"/>
      <c r="C12" s="4"/>
      <c r="D12" s="4"/>
      <c r="E12" s="4"/>
      <c r="F12" s="4"/>
      <c r="G12" s="4"/>
      <c r="H12" s="4"/>
      <c r="I12" s="5"/>
    </row>
    <row r="13" ht="15.0" customHeight="1">
      <c r="A13" s="11">
        <v>1.0</v>
      </c>
      <c r="B13" s="7" t="s">
        <v>19</v>
      </c>
      <c r="C13" s="4"/>
      <c r="D13" s="4"/>
      <c r="E13" s="4"/>
      <c r="F13" s="4"/>
      <c r="G13" s="5"/>
      <c r="H13" s="15" t="s">
        <v>20</v>
      </c>
      <c r="I13" s="5"/>
    </row>
    <row r="14" ht="15.0" customHeight="1">
      <c r="A14" s="11">
        <v>2.0</v>
      </c>
      <c r="B14" s="3" t="s">
        <v>21</v>
      </c>
      <c r="C14" s="4"/>
      <c r="D14" s="4"/>
      <c r="E14" s="4"/>
      <c r="F14" s="4"/>
      <c r="G14" s="5"/>
      <c r="H14" s="16">
        <v>1314.09</v>
      </c>
      <c r="I14" s="5"/>
    </row>
    <row r="15" ht="42.0" customHeight="1">
      <c r="A15" s="11">
        <v>3.0</v>
      </c>
      <c r="B15" s="7" t="s">
        <v>22</v>
      </c>
      <c r="C15" s="4"/>
      <c r="D15" s="4"/>
      <c r="E15" s="4"/>
      <c r="F15" s="4"/>
      <c r="G15" s="5"/>
      <c r="H15" s="17" t="s">
        <v>23</v>
      </c>
      <c r="I15" s="5"/>
    </row>
    <row r="16" ht="15.0" customHeight="1">
      <c r="A16" s="11">
        <v>4.0</v>
      </c>
      <c r="B16" s="7" t="s">
        <v>24</v>
      </c>
      <c r="C16" s="4"/>
      <c r="D16" s="4"/>
      <c r="E16" s="4"/>
      <c r="F16" s="4"/>
      <c r="G16" s="5"/>
      <c r="H16" s="8" t="s">
        <v>25</v>
      </c>
      <c r="I16" s="5"/>
    </row>
    <row r="17" ht="15.0" customHeight="1">
      <c r="A17" s="11">
        <v>5.0</v>
      </c>
      <c r="B17" s="7" t="s">
        <v>26</v>
      </c>
      <c r="C17" s="4"/>
      <c r="D17" s="4"/>
      <c r="E17" s="4"/>
      <c r="F17" s="4"/>
      <c r="G17" s="5"/>
      <c r="H17" s="16">
        <v>187.0</v>
      </c>
      <c r="I17" s="5"/>
    </row>
    <row r="18">
      <c r="A18" s="18"/>
      <c r="B18" s="4"/>
      <c r="C18" s="4"/>
      <c r="D18" s="4"/>
      <c r="E18" s="4"/>
      <c r="F18" s="4"/>
      <c r="G18" s="4"/>
      <c r="H18" s="4"/>
      <c r="I18" s="5"/>
    </row>
    <row r="19">
      <c r="A19" s="19"/>
      <c r="B19" s="4"/>
      <c r="C19" s="4"/>
      <c r="D19" s="4"/>
      <c r="E19" s="4"/>
      <c r="F19" s="4"/>
      <c r="G19" s="4"/>
      <c r="H19" s="4"/>
      <c r="I19" s="5"/>
    </row>
    <row r="20">
      <c r="A20" s="20"/>
      <c r="B20" s="4"/>
      <c r="C20" s="4"/>
      <c r="D20" s="4"/>
      <c r="E20" s="4"/>
      <c r="F20" s="4"/>
      <c r="G20" s="4"/>
      <c r="H20" s="4"/>
      <c r="I20" s="5"/>
    </row>
    <row r="21" ht="15.0" customHeight="1">
      <c r="A21" s="21" t="s">
        <v>27</v>
      </c>
      <c r="B21" s="4"/>
      <c r="C21" s="4"/>
      <c r="D21" s="4"/>
      <c r="E21" s="4"/>
      <c r="F21" s="4"/>
      <c r="G21" s="4"/>
      <c r="H21" s="4"/>
      <c r="I21" s="5"/>
    </row>
    <row r="22" ht="24.0" customHeight="1">
      <c r="A22" s="22">
        <v>1.0</v>
      </c>
      <c r="B22" s="23" t="s">
        <v>28</v>
      </c>
      <c r="C22" s="4"/>
      <c r="D22" s="5"/>
      <c r="E22" s="24" t="s">
        <v>29</v>
      </c>
      <c r="F22" s="24" t="s">
        <v>30</v>
      </c>
      <c r="G22" s="24" t="s">
        <v>31</v>
      </c>
      <c r="H22" s="25" t="s">
        <v>32</v>
      </c>
      <c r="I22" s="22" t="s">
        <v>33</v>
      </c>
    </row>
    <row r="23" ht="47.25" customHeight="1">
      <c r="A23" s="11" t="s">
        <v>6</v>
      </c>
      <c r="B23" s="7" t="s">
        <v>34</v>
      </c>
      <c r="C23" s="4"/>
      <c r="D23" s="5"/>
      <c r="E23" s="26">
        <v>21.0</v>
      </c>
      <c r="F23" s="26">
        <v>1.0</v>
      </c>
      <c r="G23" s="26">
        <v>200.0</v>
      </c>
      <c r="H23" s="27"/>
      <c r="I23" s="28">
        <f>ROUND(((H14/220)*G23*F23*(E23/21)),2)</f>
        <v>1194.63</v>
      </c>
    </row>
    <row r="24" ht="15.0" customHeight="1">
      <c r="A24" s="11" t="s">
        <v>9</v>
      </c>
      <c r="B24" s="29" t="s">
        <v>35</v>
      </c>
      <c r="C24" s="4"/>
      <c r="D24" s="4"/>
      <c r="E24" s="4"/>
      <c r="F24" s="4"/>
      <c r="G24" s="5"/>
      <c r="H24" s="30"/>
      <c r="I24" s="28">
        <f>ROUND(H24*I23,2)</f>
        <v>0</v>
      </c>
    </row>
    <row r="25" ht="15.0" customHeight="1">
      <c r="A25" s="11" t="s">
        <v>12</v>
      </c>
      <c r="B25" s="7" t="s">
        <v>36</v>
      </c>
      <c r="C25" s="4"/>
      <c r="D25" s="4"/>
      <c r="E25" s="4"/>
      <c r="F25" s="4"/>
      <c r="G25" s="4"/>
      <c r="H25" s="5"/>
      <c r="I25" s="28">
        <f>46.75*4</f>
        <v>187</v>
      </c>
    </row>
    <row r="26" ht="15.0" customHeight="1">
      <c r="A26" s="31" t="s">
        <v>37</v>
      </c>
      <c r="B26" s="4"/>
      <c r="C26" s="4"/>
      <c r="D26" s="4"/>
      <c r="E26" s="4"/>
      <c r="F26" s="4"/>
      <c r="G26" s="4"/>
      <c r="H26" s="5"/>
      <c r="I26" s="32">
        <f>SUM(I23:I25)</f>
        <v>1381.63</v>
      </c>
    </row>
    <row r="27" ht="15.75" customHeight="1">
      <c r="A27" s="33" t="s">
        <v>38</v>
      </c>
      <c r="B27" s="4"/>
      <c r="C27" s="4"/>
      <c r="D27" s="4"/>
      <c r="E27" s="4"/>
      <c r="F27" s="4"/>
      <c r="G27" s="4"/>
      <c r="H27" s="4"/>
      <c r="I27" s="5"/>
    </row>
    <row r="28" ht="23.25" customHeight="1">
      <c r="A28" s="34">
        <v>2.0</v>
      </c>
      <c r="B28" s="23" t="s">
        <v>39</v>
      </c>
      <c r="C28" s="4"/>
      <c r="D28" s="4"/>
      <c r="E28" s="4"/>
      <c r="F28" s="4"/>
      <c r="G28" s="4"/>
      <c r="H28" s="24" t="s">
        <v>40</v>
      </c>
      <c r="I28" s="35" t="s">
        <v>41</v>
      </c>
    </row>
    <row r="29" ht="15.0" customHeight="1">
      <c r="A29" s="36" t="s">
        <v>6</v>
      </c>
      <c r="B29" s="7" t="s">
        <v>42</v>
      </c>
      <c r="C29" s="4"/>
      <c r="D29" s="4"/>
      <c r="E29" s="4"/>
      <c r="F29" s="4"/>
      <c r="G29" s="4"/>
      <c r="H29" s="4"/>
      <c r="I29" s="37">
        <f>ROUND(((H31*H30*E23*F23)-(0.06*I23)),2)</f>
        <v>117.32</v>
      </c>
    </row>
    <row r="30" ht="22.5" customHeight="1">
      <c r="A30" s="36"/>
      <c r="B30" s="38" t="s">
        <v>43</v>
      </c>
      <c r="C30" s="4"/>
      <c r="D30" s="4"/>
      <c r="E30" s="4"/>
      <c r="F30" s="4"/>
      <c r="G30" s="4"/>
      <c r="H30" s="39">
        <v>4.5</v>
      </c>
      <c r="I30" s="40" t="s">
        <v>44</v>
      </c>
    </row>
    <row r="31" ht="15.0" customHeight="1">
      <c r="A31" s="36"/>
      <c r="B31" s="38" t="s">
        <v>45</v>
      </c>
      <c r="C31" s="4"/>
      <c r="D31" s="4"/>
      <c r="E31" s="4"/>
      <c r="F31" s="4"/>
      <c r="G31" s="5"/>
      <c r="H31" s="41">
        <v>2.0</v>
      </c>
      <c r="I31" s="40"/>
    </row>
    <row r="32" ht="15.0" customHeight="1">
      <c r="A32" s="36" t="s">
        <v>9</v>
      </c>
      <c r="B32" s="42" t="s">
        <v>46</v>
      </c>
      <c r="C32" s="4"/>
      <c r="D32" s="4"/>
      <c r="E32" s="4"/>
      <c r="F32" s="4"/>
      <c r="G32" s="4"/>
      <c r="H32" s="4"/>
      <c r="I32" s="37">
        <f>ROUND(((E23*H33*(1-0.19))*F23),2)</f>
        <v>343.26</v>
      </c>
    </row>
    <row r="33" ht="15.0" customHeight="1">
      <c r="A33" s="36"/>
      <c r="B33" s="43" t="s">
        <v>47</v>
      </c>
      <c r="C33" s="4"/>
      <c r="D33" s="4"/>
      <c r="E33" s="4"/>
      <c r="F33" s="4"/>
      <c r="G33" s="4"/>
      <c r="H33" s="44">
        <v>20.18</v>
      </c>
      <c r="I33" s="40" t="s">
        <v>44</v>
      </c>
    </row>
    <row r="34" ht="15.0" customHeight="1">
      <c r="A34" s="36" t="s">
        <v>12</v>
      </c>
      <c r="B34" s="7" t="s">
        <v>48</v>
      </c>
      <c r="C34" s="4"/>
      <c r="D34" s="4"/>
      <c r="E34" s="4"/>
      <c r="F34" s="4"/>
      <c r="G34" s="4"/>
      <c r="H34" s="45">
        <v>0.0</v>
      </c>
      <c r="I34" s="37">
        <f>H34*F23</f>
        <v>0</v>
      </c>
    </row>
    <row r="35" ht="15.0" customHeight="1">
      <c r="A35" s="36" t="s">
        <v>15</v>
      </c>
      <c r="B35" s="7" t="s">
        <v>49</v>
      </c>
      <c r="C35" s="4"/>
      <c r="D35" s="4"/>
      <c r="E35" s="4"/>
      <c r="F35" s="4"/>
      <c r="G35" s="4"/>
      <c r="H35" s="46">
        <v>0.0</v>
      </c>
      <c r="I35" s="47">
        <f>H35*F23</f>
        <v>0</v>
      </c>
    </row>
    <row r="36" ht="15.0" customHeight="1">
      <c r="A36" s="36" t="s">
        <v>50</v>
      </c>
      <c r="B36" s="7" t="s">
        <v>51</v>
      </c>
      <c r="C36" s="4"/>
      <c r="D36" s="4"/>
      <c r="E36" s="4"/>
      <c r="F36" s="4"/>
      <c r="G36" s="4"/>
      <c r="H36" s="48">
        <v>17.32</v>
      </c>
      <c r="I36" s="49">
        <v>17.32</v>
      </c>
    </row>
    <row r="37" ht="15.0" customHeight="1">
      <c r="A37" s="36" t="s">
        <v>52</v>
      </c>
      <c r="B37" s="7" t="s">
        <v>53</v>
      </c>
      <c r="C37" s="4"/>
      <c r="D37" s="4"/>
      <c r="E37" s="4"/>
      <c r="F37" s="4"/>
      <c r="G37" s="4"/>
      <c r="H37" s="46">
        <v>0.0</v>
      </c>
      <c r="I37" s="37">
        <f>H37*F23</f>
        <v>0</v>
      </c>
    </row>
    <row r="38" ht="15.75" customHeight="1">
      <c r="A38" s="50"/>
      <c r="B38" s="51" t="s">
        <v>54</v>
      </c>
      <c r="C38" s="4"/>
      <c r="D38" s="4"/>
      <c r="E38" s="4"/>
      <c r="F38" s="4"/>
      <c r="G38" s="4"/>
      <c r="H38" s="4"/>
      <c r="I38" s="52">
        <f>SUM(I29:I37)</f>
        <v>477.9</v>
      </c>
    </row>
    <row r="39" ht="15.75" customHeight="1">
      <c r="A39" s="53"/>
      <c r="B39" s="4"/>
      <c r="C39" s="4"/>
      <c r="D39" s="4"/>
      <c r="E39" s="4"/>
      <c r="F39" s="4"/>
      <c r="G39" s="4"/>
      <c r="H39" s="4"/>
      <c r="I39" s="5"/>
    </row>
    <row r="40" ht="25.5" customHeight="1">
      <c r="A40" s="54" t="s">
        <v>55</v>
      </c>
      <c r="B40" s="4"/>
      <c r="C40" s="4"/>
      <c r="D40" s="4"/>
      <c r="E40" s="4"/>
      <c r="F40" s="4"/>
      <c r="G40" s="4"/>
      <c r="H40" s="4"/>
      <c r="I40" s="5"/>
    </row>
    <row r="41" ht="15.75" customHeight="1">
      <c r="A41" s="53"/>
      <c r="B41" s="4"/>
      <c r="C41" s="4"/>
      <c r="D41" s="4"/>
      <c r="E41" s="4"/>
      <c r="F41" s="4"/>
      <c r="G41" s="4"/>
      <c r="H41" s="4"/>
      <c r="I41" s="5"/>
    </row>
    <row r="42" ht="15.0" customHeight="1">
      <c r="A42" s="55" t="s">
        <v>56</v>
      </c>
      <c r="B42" s="4"/>
      <c r="C42" s="4"/>
      <c r="D42" s="4"/>
      <c r="E42" s="4"/>
      <c r="F42" s="4"/>
      <c r="G42" s="4"/>
      <c r="H42" s="4"/>
      <c r="I42" s="5"/>
    </row>
    <row r="43" ht="15.0" customHeight="1">
      <c r="A43" s="34">
        <v>3.0</v>
      </c>
      <c r="B43" s="23" t="s">
        <v>57</v>
      </c>
      <c r="C43" s="4"/>
      <c r="D43" s="4"/>
      <c r="E43" s="4"/>
      <c r="F43" s="4"/>
      <c r="G43" s="4"/>
      <c r="H43" s="56" t="s">
        <v>40</v>
      </c>
      <c r="I43" s="34" t="s">
        <v>41</v>
      </c>
    </row>
    <row r="44" ht="15.0" customHeight="1">
      <c r="A44" s="36" t="s">
        <v>6</v>
      </c>
      <c r="B44" s="7" t="s">
        <v>58</v>
      </c>
      <c r="C44" s="4"/>
      <c r="D44" s="4"/>
      <c r="E44" s="4"/>
      <c r="F44" s="4"/>
      <c r="G44" s="4"/>
      <c r="H44" s="45">
        <f>'ANEXO V'!F21</f>
        <v>31.66666667</v>
      </c>
      <c r="I44" s="37">
        <f>H44*F23</f>
        <v>31.66666667</v>
      </c>
    </row>
    <row r="45" ht="15.0" customHeight="1">
      <c r="A45" s="36" t="s">
        <v>9</v>
      </c>
      <c r="B45" s="7" t="s">
        <v>59</v>
      </c>
      <c r="C45" s="4"/>
      <c r="D45" s="4"/>
      <c r="E45" s="4"/>
      <c r="F45" s="4"/>
      <c r="G45" s="4"/>
      <c r="H45" s="46">
        <f>'ANEXO V'!F76</f>
        <v>65.47883333</v>
      </c>
      <c r="I45" s="47">
        <f>H45*F23</f>
        <v>65.47883333</v>
      </c>
    </row>
    <row r="46" ht="15.0" customHeight="1">
      <c r="A46" s="36" t="s">
        <v>12</v>
      </c>
      <c r="B46" s="7" t="s">
        <v>60</v>
      </c>
      <c r="C46" s="4"/>
      <c r="D46" s="4"/>
      <c r="E46" s="4"/>
      <c r="F46" s="4"/>
      <c r="G46" s="4"/>
      <c r="H46" s="46">
        <v>0.0</v>
      </c>
      <c r="I46" s="47">
        <f>H46*F23</f>
        <v>0</v>
      </c>
    </row>
    <row r="47" ht="15.75" customHeight="1">
      <c r="A47" s="51" t="s">
        <v>61</v>
      </c>
      <c r="B47" s="4"/>
      <c r="C47" s="4"/>
      <c r="D47" s="4"/>
      <c r="E47" s="4"/>
      <c r="F47" s="4"/>
      <c r="G47" s="4"/>
      <c r="H47" s="5"/>
      <c r="I47" s="57">
        <f>SUM(I44:I46)</f>
        <v>97.1455</v>
      </c>
    </row>
    <row r="48" ht="15.75" customHeight="1">
      <c r="A48" s="53"/>
      <c r="B48" s="4"/>
      <c r="C48" s="4"/>
      <c r="D48" s="4"/>
      <c r="E48" s="4"/>
      <c r="F48" s="4"/>
      <c r="G48" s="4"/>
      <c r="H48" s="4"/>
      <c r="I48" s="5"/>
    </row>
    <row r="49" ht="15.75" customHeight="1">
      <c r="A49" s="19" t="s">
        <v>62</v>
      </c>
      <c r="B49" s="4"/>
      <c r="C49" s="4"/>
      <c r="D49" s="4"/>
      <c r="E49" s="4"/>
      <c r="F49" s="4"/>
      <c r="G49" s="4"/>
      <c r="H49" s="4"/>
      <c r="I49" s="5"/>
    </row>
    <row r="50" ht="15.75" customHeight="1">
      <c r="A50" s="53"/>
      <c r="B50" s="4"/>
      <c r="C50" s="4"/>
      <c r="D50" s="4"/>
      <c r="E50" s="4"/>
      <c r="F50" s="4"/>
      <c r="G50" s="4"/>
      <c r="H50" s="4"/>
      <c r="I50" s="5"/>
    </row>
    <row r="51" ht="15.0" customHeight="1">
      <c r="A51" s="21" t="s">
        <v>63</v>
      </c>
      <c r="B51" s="4"/>
      <c r="C51" s="4"/>
      <c r="D51" s="4"/>
      <c r="E51" s="4"/>
      <c r="F51" s="4"/>
      <c r="G51" s="4"/>
      <c r="H51" s="4"/>
      <c r="I51" s="5"/>
    </row>
    <row r="52" ht="15.0" customHeight="1">
      <c r="A52" s="14" t="s">
        <v>64</v>
      </c>
      <c r="B52" s="4"/>
      <c r="C52" s="4"/>
      <c r="D52" s="4"/>
      <c r="E52" s="4"/>
      <c r="F52" s="4"/>
      <c r="G52" s="4"/>
      <c r="H52" s="4"/>
      <c r="I52" s="5"/>
    </row>
    <row r="53" ht="30.0" customHeight="1">
      <c r="A53" s="58" t="s">
        <v>65</v>
      </c>
      <c r="B53" s="23" t="s">
        <v>66</v>
      </c>
      <c r="C53" s="4"/>
      <c r="D53" s="4"/>
      <c r="E53" s="4"/>
      <c r="F53" s="4"/>
      <c r="G53" s="5"/>
      <c r="H53" s="35" t="s">
        <v>67</v>
      </c>
      <c r="I53" s="35" t="s">
        <v>41</v>
      </c>
    </row>
    <row r="54" ht="15.0" customHeight="1">
      <c r="A54" s="33" t="s">
        <v>6</v>
      </c>
      <c r="B54" s="7" t="s">
        <v>68</v>
      </c>
      <c r="C54" s="4"/>
      <c r="D54" s="4"/>
      <c r="E54" s="4"/>
      <c r="F54" s="4"/>
      <c r="G54" s="5"/>
      <c r="H54" s="59">
        <v>0.2</v>
      </c>
      <c r="I54" s="60">
        <f t="shared" ref="I54:I61" si="1">ROUND($I$26*H54,2)</f>
        <v>276.33</v>
      </c>
    </row>
    <row r="55" ht="15.0" customHeight="1">
      <c r="A55" s="33" t="s">
        <v>9</v>
      </c>
      <c r="B55" s="7" t="s">
        <v>69</v>
      </c>
      <c r="C55" s="4"/>
      <c r="D55" s="4"/>
      <c r="E55" s="4"/>
      <c r="F55" s="4"/>
      <c r="G55" s="5"/>
      <c r="H55" s="59">
        <v>0.015</v>
      </c>
      <c r="I55" s="60">
        <f t="shared" si="1"/>
        <v>20.72</v>
      </c>
    </row>
    <row r="56" ht="15.0" customHeight="1">
      <c r="A56" s="33" t="s">
        <v>12</v>
      </c>
      <c r="B56" s="7" t="s">
        <v>70</v>
      </c>
      <c r="C56" s="4"/>
      <c r="D56" s="4"/>
      <c r="E56" s="4"/>
      <c r="F56" s="4"/>
      <c r="G56" s="5"/>
      <c r="H56" s="59">
        <v>0.01</v>
      </c>
      <c r="I56" s="60">
        <f t="shared" si="1"/>
        <v>13.82</v>
      </c>
    </row>
    <row r="57" ht="15.0" customHeight="1">
      <c r="A57" s="33" t="s">
        <v>15</v>
      </c>
      <c r="B57" s="7" t="s">
        <v>71</v>
      </c>
      <c r="C57" s="4"/>
      <c r="D57" s="4"/>
      <c r="E57" s="4"/>
      <c r="F57" s="4"/>
      <c r="G57" s="5"/>
      <c r="H57" s="59">
        <v>0.002</v>
      </c>
      <c r="I57" s="60">
        <f t="shared" si="1"/>
        <v>2.76</v>
      </c>
    </row>
    <row r="58" ht="15.0" customHeight="1">
      <c r="A58" s="33" t="s">
        <v>50</v>
      </c>
      <c r="B58" s="7" t="s">
        <v>72</v>
      </c>
      <c r="C58" s="4"/>
      <c r="D58" s="4"/>
      <c r="E58" s="4"/>
      <c r="F58" s="4"/>
      <c r="G58" s="5"/>
      <c r="H58" s="59">
        <v>0.025</v>
      </c>
      <c r="I58" s="60">
        <f t="shared" si="1"/>
        <v>34.54</v>
      </c>
    </row>
    <row r="59" ht="15.0" customHeight="1">
      <c r="A59" s="33" t="s">
        <v>52</v>
      </c>
      <c r="B59" s="7" t="s">
        <v>73</v>
      </c>
      <c r="C59" s="4"/>
      <c r="D59" s="4"/>
      <c r="E59" s="4"/>
      <c r="F59" s="4"/>
      <c r="G59" s="5"/>
      <c r="H59" s="61">
        <v>0.08</v>
      </c>
      <c r="I59" s="60">
        <f t="shared" si="1"/>
        <v>110.53</v>
      </c>
    </row>
    <row r="60">
      <c r="A60" s="33" t="s">
        <v>74</v>
      </c>
      <c r="B60" s="7" t="s">
        <v>75</v>
      </c>
      <c r="C60" s="5"/>
      <c r="D60" s="62" t="s">
        <v>76</v>
      </c>
      <c r="E60" s="63">
        <v>0.03</v>
      </c>
      <c r="F60" s="62" t="s">
        <v>77</v>
      </c>
      <c r="G60" s="64">
        <v>1.3003</v>
      </c>
      <c r="H60" s="65">
        <f>ROUND((E60*G60),6)</f>
        <v>0.039009</v>
      </c>
      <c r="I60" s="60">
        <f t="shared" si="1"/>
        <v>53.9</v>
      </c>
    </row>
    <row r="61" ht="15.0" customHeight="1">
      <c r="A61" s="33" t="s">
        <v>78</v>
      </c>
      <c r="B61" s="7" t="s">
        <v>79</v>
      </c>
      <c r="C61" s="4"/>
      <c r="D61" s="4"/>
      <c r="E61" s="4"/>
      <c r="F61" s="4"/>
      <c r="G61" s="5"/>
      <c r="H61" s="59">
        <v>0.006</v>
      </c>
      <c r="I61" s="60">
        <f t="shared" si="1"/>
        <v>8.29</v>
      </c>
    </row>
    <row r="62" ht="15.75" customHeight="1">
      <c r="A62" s="51" t="s">
        <v>80</v>
      </c>
      <c r="B62" s="4"/>
      <c r="C62" s="4"/>
      <c r="D62" s="4"/>
      <c r="E62" s="4"/>
      <c r="F62" s="4"/>
      <c r="G62" s="5"/>
      <c r="H62" s="66">
        <f t="shared" ref="H62:I62" si="2">SUM(H54:H61)</f>
        <v>0.377009</v>
      </c>
      <c r="I62" s="52">
        <f t="shared" si="2"/>
        <v>520.89</v>
      </c>
    </row>
    <row r="63" ht="15.75" customHeight="1">
      <c r="A63" s="53"/>
      <c r="B63" s="4"/>
      <c r="C63" s="4"/>
      <c r="D63" s="4"/>
      <c r="E63" s="4"/>
      <c r="F63" s="4"/>
      <c r="G63" s="4"/>
      <c r="H63" s="4"/>
      <c r="I63" s="5"/>
    </row>
    <row r="64" ht="26.25" customHeight="1">
      <c r="A64" s="7" t="s">
        <v>81</v>
      </c>
      <c r="B64" s="4"/>
      <c r="C64" s="4"/>
      <c r="D64" s="4"/>
      <c r="E64" s="4"/>
      <c r="F64" s="4"/>
      <c r="G64" s="4"/>
      <c r="H64" s="4"/>
      <c r="I64" s="5"/>
    </row>
    <row r="65" ht="15.75" customHeight="1">
      <c r="A65" s="53"/>
      <c r="B65" s="4"/>
      <c r="C65" s="4"/>
      <c r="D65" s="4"/>
      <c r="E65" s="4"/>
      <c r="F65" s="4"/>
      <c r="G65" s="4"/>
      <c r="H65" s="4"/>
      <c r="I65" s="5"/>
    </row>
    <row r="66" ht="15.0" customHeight="1">
      <c r="A66" s="14" t="s">
        <v>82</v>
      </c>
      <c r="B66" s="4"/>
      <c r="C66" s="4"/>
      <c r="D66" s="4"/>
      <c r="E66" s="4"/>
      <c r="F66" s="4"/>
      <c r="G66" s="4"/>
      <c r="H66" s="4"/>
      <c r="I66" s="5"/>
    </row>
    <row r="67" ht="15.0" customHeight="1">
      <c r="A67" s="34" t="s">
        <v>83</v>
      </c>
      <c r="B67" s="23" t="s">
        <v>84</v>
      </c>
      <c r="C67" s="4"/>
      <c r="D67" s="4"/>
      <c r="E67" s="4"/>
      <c r="F67" s="4"/>
      <c r="G67" s="4"/>
      <c r="H67" s="5"/>
      <c r="I67" s="34" t="s">
        <v>41</v>
      </c>
    </row>
    <row r="68" ht="25.5" customHeight="1">
      <c r="A68" s="36" t="s">
        <v>6</v>
      </c>
      <c r="B68" s="67" t="s">
        <v>85</v>
      </c>
      <c r="C68" s="4"/>
      <c r="D68" s="4"/>
      <c r="E68" s="4"/>
      <c r="F68" s="4"/>
      <c r="G68" s="4"/>
      <c r="H68" s="5"/>
      <c r="I68" s="60">
        <f>ROUND($I$26/12,2)</f>
        <v>115.14</v>
      </c>
    </row>
    <row r="69" ht="15.75" customHeight="1">
      <c r="A69" s="51" t="s">
        <v>86</v>
      </c>
      <c r="B69" s="4"/>
      <c r="C69" s="4"/>
      <c r="D69" s="4"/>
      <c r="E69" s="4"/>
      <c r="F69" s="4"/>
      <c r="G69" s="4"/>
      <c r="H69" s="5"/>
      <c r="I69" s="68">
        <f>SUM(I68)</f>
        <v>115.14</v>
      </c>
    </row>
    <row r="70" ht="15.0" customHeight="1">
      <c r="A70" s="36" t="s">
        <v>9</v>
      </c>
      <c r="B70" s="43" t="s">
        <v>87</v>
      </c>
      <c r="C70" s="4"/>
      <c r="D70" s="4"/>
      <c r="E70" s="4"/>
      <c r="F70" s="4"/>
      <c r="G70" s="4"/>
      <c r="H70" s="5"/>
      <c r="I70" s="69">
        <f>ROUND(H62*I69,2)</f>
        <v>43.41</v>
      </c>
    </row>
    <row r="71" ht="15.75" customHeight="1">
      <c r="A71" s="51" t="s">
        <v>80</v>
      </c>
      <c r="B71" s="4"/>
      <c r="C71" s="4"/>
      <c r="D71" s="4"/>
      <c r="E71" s="4"/>
      <c r="F71" s="4"/>
      <c r="G71" s="4"/>
      <c r="H71" s="5"/>
      <c r="I71" s="68">
        <f>SUM(I69:I70)</f>
        <v>158.55</v>
      </c>
    </row>
    <row r="72" ht="15.75" customHeight="1">
      <c r="A72" s="53"/>
      <c r="B72" s="4"/>
      <c r="C72" s="4"/>
      <c r="D72" s="4"/>
      <c r="E72" s="4"/>
      <c r="F72" s="4"/>
      <c r="G72" s="4"/>
      <c r="H72" s="4"/>
      <c r="I72" s="5"/>
    </row>
    <row r="73" ht="15.0" customHeight="1">
      <c r="A73" s="14" t="s">
        <v>88</v>
      </c>
      <c r="B73" s="4"/>
      <c r="C73" s="4"/>
      <c r="D73" s="4"/>
      <c r="E73" s="4"/>
      <c r="F73" s="4"/>
      <c r="G73" s="4"/>
      <c r="H73" s="4"/>
      <c r="I73" s="5"/>
    </row>
    <row r="74" ht="15.75" customHeight="1">
      <c r="A74" s="34" t="s">
        <v>89</v>
      </c>
      <c r="B74" s="70" t="s">
        <v>90</v>
      </c>
      <c r="C74" s="4"/>
      <c r="D74" s="4"/>
      <c r="E74" s="4"/>
      <c r="F74" s="4"/>
      <c r="G74" s="4"/>
      <c r="H74" s="5"/>
      <c r="I74" s="34" t="s">
        <v>41</v>
      </c>
    </row>
    <row r="75" ht="15.0" customHeight="1">
      <c r="A75" s="36" t="s">
        <v>6</v>
      </c>
      <c r="B75" s="42" t="s">
        <v>91</v>
      </c>
      <c r="C75" s="4"/>
      <c r="D75" s="4"/>
      <c r="E75" s="4"/>
      <c r="F75" s="4"/>
      <c r="G75" s="4"/>
      <c r="H75" s="5"/>
      <c r="I75" s="60">
        <f>ROUND(((($I$26+$I$26/3)*4/12)/12)*0.02,2)</f>
        <v>1.02</v>
      </c>
    </row>
    <row r="76" ht="15.0" customHeight="1">
      <c r="A76" s="36" t="s">
        <v>9</v>
      </c>
      <c r="B76" s="7" t="s">
        <v>92</v>
      </c>
      <c r="C76" s="4"/>
      <c r="D76" s="4"/>
      <c r="E76" s="4"/>
      <c r="F76" s="4"/>
      <c r="G76" s="4"/>
      <c r="H76" s="5"/>
      <c r="I76" s="69">
        <f>ROUND(H62*I75,2)</f>
        <v>0.38</v>
      </c>
    </row>
    <row r="77" ht="15.75" customHeight="1">
      <c r="A77" s="51" t="s">
        <v>80</v>
      </c>
      <c r="B77" s="4"/>
      <c r="C77" s="4"/>
      <c r="D77" s="4"/>
      <c r="E77" s="4"/>
      <c r="F77" s="4"/>
      <c r="G77" s="4"/>
      <c r="H77" s="5"/>
      <c r="I77" s="52">
        <f>SUM(I75:I76)</f>
        <v>1.4</v>
      </c>
    </row>
    <row r="78" ht="15.75" customHeight="1">
      <c r="A78" s="71" t="s">
        <v>93</v>
      </c>
      <c r="B78" s="4"/>
      <c r="C78" s="4"/>
      <c r="D78" s="4"/>
      <c r="E78" s="4"/>
      <c r="F78" s="4"/>
      <c r="G78" s="4"/>
      <c r="H78" s="4"/>
      <c r="I78" s="5"/>
    </row>
    <row r="79" ht="15.75" customHeight="1">
      <c r="A79" s="34" t="s">
        <v>94</v>
      </c>
      <c r="B79" s="70" t="s">
        <v>95</v>
      </c>
      <c r="C79" s="4"/>
      <c r="D79" s="4"/>
      <c r="E79" s="4"/>
      <c r="F79" s="4"/>
      <c r="G79" s="4"/>
      <c r="H79" s="5"/>
      <c r="I79" s="34" t="s">
        <v>41</v>
      </c>
    </row>
    <row r="80" ht="26.25" customHeight="1">
      <c r="A80" s="36" t="s">
        <v>6</v>
      </c>
      <c r="B80" s="42" t="s">
        <v>96</v>
      </c>
      <c r="C80" s="4"/>
      <c r="D80" s="4"/>
      <c r="E80" s="4"/>
      <c r="F80" s="4"/>
      <c r="G80" s="4"/>
      <c r="H80" s="5"/>
      <c r="I80" s="60">
        <f>ROUND(($I$26/12)*(33/30)*0.05,2)</f>
        <v>6.33</v>
      </c>
    </row>
    <row r="81" ht="15.75" customHeight="1">
      <c r="A81" s="36" t="s">
        <v>9</v>
      </c>
      <c r="B81" s="72" t="s">
        <v>97</v>
      </c>
      <c r="C81" s="4"/>
      <c r="D81" s="4"/>
      <c r="E81" s="4"/>
      <c r="F81" s="4"/>
      <c r="G81" s="4"/>
      <c r="H81" s="5"/>
      <c r="I81" s="60">
        <f>ROUND($H$59*I80,2)</f>
        <v>0.51</v>
      </c>
    </row>
    <row r="82" ht="26.25" customHeight="1">
      <c r="A82" s="36" t="s">
        <v>12</v>
      </c>
      <c r="B82" s="67" t="s">
        <v>98</v>
      </c>
      <c r="C82" s="4"/>
      <c r="D82" s="4"/>
      <c r="E82" s="4"/>
      <c r="F82" s="4"/>
      <c r="G82" s="4"/>
      <c r="H82" s="5"/>
      <c r="I82" s="60">
        <f>ROUND(I26*50%*8%*5%,2)</f>
        <v>2.76</v>
      </c>
    </row>
    <row r="83" ht="27.0" customHeight="1">
      <c r="A83" s="36" t="s">
        <v>15</v>
      </c>
      <c r="B83" s="42" t="s">
        <v>99</v>
      </c>
      <c r="C83" s="4"/>
      <c r="D83" s="4"/>
      <c r="E83" s="4"/>
      <c r="F83" s="4"/>
      <c r="G83" s="4"/>
      <c r="H83" s="5"/>
      <c r="I83" s="60">
        <f>ROUND(((($I$26/30)*7)/$H$9),2)</f>
        <v>26.87</v>
      </c>
    </row>
    <row r="84" ht="15.75" customHeight="1">
      <c r="A84" s="36" t="s">
        <v>50</v>
      </c>
      <c r="B84" s="72" t="s">
        <v>100</v>
      </c>
      <c r="C84" s="4"/>
      <c r="D84" s="4"/>
      <c r="E84" s="4"/>
      <c r="F84" s="4"/>
      <c r="G84" s="4"/>
      <c r="H84" s="5"/>
      <c r="I84" s="60">
        <f>ROUND($H$62*I83,2)</f>
        <v>10.13</v>
      </c>
    </row>
    <row r="85" ht="26.25" customHeight="1">
      <c r="A85" s="36" t="s">
        <v>52</v>
      </c>
      <c r="B85" s="67" t="s">
        <v>101</v>
      </c>
      <c r="C85" s="4"/>
      <c r="D85" s="4"/>
      <c r="E85" s="4"/>
      <c r="F85" s="4"/>
      <c r="G85" s="4"/>
      <c r="H85" s="5"/>
      <c r="I85" s="60">
        <f>ROUND($I$26*(40%+10%)*8%*100%,2)</f>
        <v>55.27</v>
      </c>
    </row>
    <row r="86" ht="15.75" customHeight="1">
      <c r="A86" s="51" t="s">
        <v>80</v>
      </c>
      <c r="B86" s="4"/>
      <c r="C86" s="4"/>
      <c r="D86" s="4"/>
      <c r="E86" s="4"/>
      <c r="F86" s="4"/>
      <c r="G86" s="4"/>
      <c r="H86" s="5"/>
      <c r="I86" s="52">
        <f>SUM(I80:I85)</f>
        <v>101.87</v>
      </c>
    </row>
    <row r="87" ht="15.0" customHeight="1">
      <c r="A87" s="14" t="s">
        <v>102</v>
      </c>
      <c r="B87" s="4"/>
      <c r="C87" s="4"/>
      <c r="D87" s="4"/>
      <c r="E87" s="4"/>
      <c r="F87" s="4"/>
      <c r="G87" s="4"/>
      <c r="H87" s="4"/>
      <c r="I87" s="5"/>
    </row>
    <row r="88" ht="15.75" customHeight="1">
      <c r="A88" s="73" t="s">
        <v>103</v>
      </c>
      <c r="B88" s="70" t="s">
        <v>104</v>
      </c>
      <c r="C88" s="4"/>
      <c r="D88" s="4"/>
      <c r="E88" s="4"/>
      <c r="F88" s="4"/>
      <c r="G88" s="4"/>
      <c r="H88" s="5"/>
      <c r="I88" s="73" t="s">
        <v>41</v>
      </c>
    </row>
    <row r="89" ht="15.0" customHeight="1">
      <c r="A89" s="74" t="s">
        <v>6</v>
      </c>
      <c r="B89" s="67" t="s">
        <v>105</v>
      </c>
      <c r="C89" s="4"/>
      <c r="D89" s="4"/>
      <c r="E89" s="4"/>
      <c r="F89" s="4"/>
      <c r="G89" s="4"/>
      <c r="H89" s="5"/>
      <c r="I89" s="60">
        <f>ROUND($I$26*11.11%,2)</f>
        <v>153.5</v>
      </c>
    </row>
    <row r="90" ht="15.75" customHeight="1">
      <c r="A90" s="74" t="s">
        <v>9</v>
      </c>
      <c r="B90" s="72" t="s">
        <v>106</v>
      </c>
      <c r="C90" s="4"/>
      <c r="D90" s="4"/>
      <c r="E90" s="4"/>
      <c r="F90" s="4"/>
      <c r="G90" s="4"/>
      <c r="H90" s="5"/>
      <c r="I90" s="75">
        <f>ROUND(((($I$26/30)*5)/12),2)</f>
        <v>19.19</v>
      </c>
    </row>
    <row r="91" ht="15.75" customHeight="1">
      <c r="A91" s="74" t="s">
        <v>12</v>
      </c>
      <c r="B91" s="72" t="s">
        <v>107</v>
      </c>
      <c r="C91" s="4"/>
      <c r="D91" s="4"/>
      <c r="E91" s="4"/>
      <c r="F91" s="4"/>
      <c r="G91" s="4"/>
      <c r="H91" s="5"/>
      <c r="I91" s="75">
        <f>ROUND((($I$26/30)*5)/12*0.015,2)</f>
        <v>0.29</v>
      </c>
    </row>
    <row r="92" ht="15.75" customHeight="1">
      <c r="A92" s="74" t="s">
        <v>15</v>
      </c>
      <c r="B92" s="72" t="s">
        <v>108</v>
      </c>
      <c r="C92" s="4"/>
      <c r="D92" s="4"/>
      <c r="E92" s="4"/>
      <c r="F92" s="4"/>
      <c r="G92" s="4"/>
      <c r="H92" s="5"/>
      <c r="I92" s="75">
        <f>ROUND((($I$26/30)*2.96)/12,2)</f>
        <v>11.36</v>
      </c>
    </row>
    <row r="93" ht="27.0" customHeight="1">
      <c r="A93" s="74" t="s">
        <v>50</v>
      </c>
      <c r="B93" s="42" t="s">
        <v>109</v>
      </c>
      <c r="C93" s="4"/>
      <c r="D93" s="4"/>
      <c r="E93" s="4"/>
      <c r="F93" s="4"/>
      <c r="G93" s="4"/>
      <c r="H93" s="5"/>
      <c r="I93" s="76">
        <f>ROUND(((($I$26/30)*15)/12)*0.0078,2)</f>
        <v>0.45</v>
      </c>
    </row>
    <row r="94" ht="15.75" customHeight="1">
      <c r="A94" s="74" t="s">
        <v>52</v>
      </c>
      <c r="B94" s="72" t="s">
        <v>53</v>
      </c>
      <c r="C94" s="4"/>
      <c r="D94" s="4"/>
      <c r="E94" s="4"/>
      <c r="F94" s="4"/>
      <c r="G94" s="4"/>
      <c r="H94" s="5"/>
      <c r="I94" s="76">
        <v>0.0</v>
      </c>
    </row>
    <row r="95" ht="15.75" customHeight="1">
      <c r="A95" s="51" t="s">
        <v>86</v>
      </c>
      <c r="B95" s="4"/>
      <c r="C95" s="4"/>
      <c r="D95" s="4"/>
      <c r="E95" s="4"/>
      <c r="F95" s="4"/>
      <c r="G95" s="4"/>
      <c r="H95" s="5"/>
      <c r="I95" s="77">
        <f>SUM(I89:I94)</f>
        <v>184.79</v>
      </c>
    </row>
    <row r="96" ht="26.25" customHeight="1">
      <c r="A96" s="78" t="s">
        <v>74</v>
      </c>
      <c r="B96" s="7" t="s">
        <v>110</v>
      </c>
      <c r="C96" s="4"/>
      <c r="D96" s="4"/>
      <c r="E96" s="4"/>
      <c r="F96" s="4"/>
      <c r="G96" s="4"/>
      <c r="H96" s="5"/>
      <c r="I96" s="79">
        <f>ROUND(H62*I95,2)</f>
        <v>69.67</v>
      </c>
    </row>
    <row r="97" ht="15.75" customHeight="1">
      <c r="A97" s="51" t="s">
        <v>80</v>
      </c>
      <c r="B97" s="4"/>
      <c r="C97" s="4"/>
      <c r="D97" s="4"/>
      <c r="E97" s="4"/>
      <c r="F97" s="4"/>
      <c r="G97" s="4"/>
      <c r="H97" s="5"/>
      <c r="I97" s="52">
        <f>SUM(I95:I96)</f>
        <v>254.46</v>
      </c>
    </row>
    <row r="98" ht="15.75" customHeight="1">
      <c r="A98" s="71" t="s">
        <v>111</v>
      </c>
      <c r="B98" s="4"/>
      <c r="C98" s="4"/>
      <c r="D98" s="4"/>
      <c r="E98" s="4"/>
      <c r="F98" s="4"/>
      <c r="G98" s="4"/>
      <c r="H98" s="4"/>
      <c r="I98" s="5"/>
    </row>
    <row r="99" ht="15.0" customHeight="1">
      <c r="A99" s="34">
        <v>4.0</v>
      </c>
      <c r="B99" s="23" t="s">
        <v>112</v>
      </c>
      <c r="C99" s="4"/>
      <c r="D99" s="4"/>
      <c r="E99" s="4"/>
      <c r="F99" s="4"/>
      <c r="G99" s="4"/>
      <c r="H99" s="5"/>
      <c r="I99" s="34" t="s">
        <v>41</v>
      </c>
    </row>
    <row r="100" ht="15.0" customHeight="1">
      <c r="A100" s="36" t="s">
        <v>65</v>
      </c>
      <c r="B100" s="7" t="s">
        <v>113</v>
      </c>
      <c r="C100" s="4"/>
      <c r="D100" s="4"/>
      <c r="E100" s="4"/>
      <c r="F100" s="4"/>
      <c r="G100" s="4"/>
      <c r="H100" s="5"/>
      <c r="I100" s="37">
        <f>I62</f>
        <v>520.89</v>
      </c>
    </row>
    <row r="101" ht="15.0" customHeight="1">
      <c r="A101" s="36" t="s">
        <v>83</v>
      </c>
      <c r="B101" s="7" t="s">
        <v>114</v>
      </c>
      <c r="C101" s="4"/>
      <c r="D101" s="4"/>
      <c r="E101" s="4"/>
      <c r="F101" s="4"/>
      <c r="G101" s="4"/>
      <c r="H101" s="5"/>
      <c r="I101" s="37">
        <f>I71</f>
        <v>158.55</v>
      </c>
    </row>
    <row r="102" ht="15.0" customHeight="1">
      <c r="A102" s="36" t="s">
        <v>89</v>
      </c>
      <c r="B102" s="7" t="s">
        <v>115</v>
      </c>
      <c r="C102" s="4"/>
      <c r="D102" s="4"/>
      <c r="E102" s="4"/>
      <c r="F102" s="4"/>
      <c r="G102" s="4"/>
      <c r="H102" s="5"/>
      <c r="I102" s="37">
        <f>I77</f>
        <v>1.4</v>
      </c>
    </row>
    <row r="103" ht="15.0" customHeight="1">
      <c r="A103" s="36" t="s">
        <v>94</v>
      </c>
      <c r="B103" s="7" t="s">
        <v>116</v>
      </c>
      <c r="C103" s="4"/>
      <c r="D103" s="4"/>
      <c r="E103" s="4"/>
      <c r="F103" s="4"/>
      <c r="G103" s="4"/>
      <c r="H103" s="5"/>
      <c r="I103" s="37">
        <f>I86</f>
        <v>101.87</v>
      </c>
    </row>
    <row r="104" ht="15.0" customHeight="1">
      <c r="A104" s="36" t="s">
        <v>103</v>
      </c>
      <c r="B104" s="7" t="s">
        <v>117</v>
      </c>
      <c r="C104" s="4"/>
      <c r="D104" s="4"/>
      <c r="E104" s="4"/>
      <c r="F104" s="4"/>
      <c r="G104" s="4"/>
      <c r="H104" s="5"/>
      <c r="I104" s="37">
        <f>I97</f>
        <v>254.46</v>
      </c>
    </row>
    <row r="105" ht="15.0" customHeight="1">
      <c r="A105" s="36" t="s">
        <v>118</v>
      </c>
      <c r="B105" s="7" t="s">
        <v>53</v>
      </c>
      <c r="C105" s="4"/>
      <c r="D105" s="4"/>
      <c r="E105" s="4"/>
      <c r="F105" s="4"/>
      <c r="G105" s="4"/>
      <c r="H105" s="5"/>
      <c r="I105" s="37">
        <v>0.0</v>
      </c>
    </row>
    <row r="106" ht="15.75" customHeight="1">
      <c r="A106" s="51" t="s">
        <v>80</v>
      </c>
      <c r="B106" s="4"/>
      <c r="C106" s="4"/>
      <c r="D106" s="4"/>
      <c r="E106" s="4"/>
      <c r="F106" s="4"/>
      <c r="G106" s="4"/>
      <c r="H106" s="5"/>
      <c r="I106" s="52">
        <f>SUM(I100:I105)</f>
        <v>1037.17</v>
      </c>
    </row>
    <row r="107" ht="15.75" customHeight="1">
      <c r="A107" s="33" t="s">
        <v>119</v>
      </c>
      <c r="B107" s="4"/>
      <c r="C107" s="4"/>
      <c r="D107" s="4"/>
      <c r="E107" s="4"/>
      <c r="F107" s="4"/>
      <c r="G107" s="4"/>
      <c r="H107" s="4"/>
      <c r="I107" s="5"/>
    </row>
    <row r="108" ht="15.75" customHeight="1">
      <c r="A108" s="34">
        <v>5.0</v>
      </c>
      <c r="B108" s="70" t="s">
        <v>120</v>
      </c>
      <c r="C108" s="4"/>
      <c r="D108" s="4"/>
      <c r="E108" s="4"/>
      <c r="F108" s="4"/>
      <c r="G108" s="5"/>
      <c r="H108" s="34" t="s">
        <v>32</v>
      </c>
      <c r="I108" s="80" t="s">
        <v>41</v>
      </c>
    </row>
    <row r="109" ht="40.5" customHeight="1">
      <c r="A109" s="81" t="s">
        <v>121</v>
      </c>
      <c r="B109" s="4"/>
      <c r="C109" s="4"/>
      <c r="D109" s="4"/>
      <c r="E109" s="4"/>
      <c r="F109" s="4"/>
      <c r="G109" s="5"/>
      <c r="H109" s="82" t="s">
        <v>44</v>
      </c>
      <c r="I109" s="83">
        <f>SUM(I26+I38+I47+I106)</f>
        <v>2993.8455</v>
      </c>
    </row>
    <row r="110" ht="15.75" customHeight="1">
      <c r="A110" s="36" t="s">
        <v>6</v>
      </c>
      <c r="B110" s="84" t="s">
        <v>122</v>
      </c>
      <c r="C110" s="4"/>
      <c r="D110" s="4"/>
      <c r="E110" s="4"/>
      <c r="F110" s="4"/>
      <c r="G110" s="5"/>
      <c r="H110" s="59">
        <v>0.03</v>
      </c>
      <c r="I110" s="37">
        <f>ROUND(H110*I109,2)</f>
        <v>89.82</v>
      </c>
    </row>
    <row r="111" ht="39.75" customHeight="1">
      <c r="A111" s="81" t="s">
        <v>123</v>
      </c>
      <c r="B111" s="4"/>
      <c r="C111" s="4"/>
      <c r="D111" s="4"/>
      <c r="E111" s="4"/>
      <c r="F111" s="4"/>
      <c r="G111" s="5"/>
      <c r="H111" s="85" t="s">
        <v>44</v>
      </c>
      <c r="I111" s="83">
        <f>SUM(I26+I38+I47+I106+I110)</f>
        <v>3083.6655</v>
      </c>
    </row>
    <row r="112" ht="15.75" customHeight="1">
      <c r="A112" s="36" t="s">
        <v>9</v>
      </c>
      <c r="B112" s="84" t="s">
        <v>124</v>
      </c>
      <c r="C112" s="4"/>
      <c r="D112" s="4"/>
      <c r="E112" s="4"/>
      <c r="F112" s="4"/>
      <c r="G112" s="5"/>
      <c r="H112" s="86">
        <v>0.2435</v>
      </c>
      <c r="I112" s="37">
        <f>ROUND(H112*I111,2)</f>
        <v>750.87</v>
      </c>
    </row>
    <row r="113" ht="15.0" customHeight="1">
      <c r="A113" s="87" t="s">
        <v>125</v>
      </c>
      <c r="B113" s="4"/>
      <c r="C113" s="4"/>
      <c r="D113" s="4"/>
      <c r="E113" s="4"/>
      <c r="F113" s="4"/>
      <c r="G113" s="5"/>
      <c r="H113" s="85"/>
      <c r="I113" s="83">
        <f>SUM(I26+I38+I47+I106+I110+I112)</f>
        <v>3834.5355</v>
      </c>
    </row>
    <row r="114" ht="15.75" customHeight="1">
      <c r="A114" s="36" t="s">
        <v>12</v>
      </c>
      <c r="B114" s="84" t="s">
        <v>126</v>
      </c>
      <c r="C114" s="4"/>
      <c r="D114" s="4"/>
      <c r="E114" s="4"/>
      <c r="F114" s="4"/>
      <c r="G114" s="5"/>
      <c r="H114" s="88" t="s">
        <v>44</v>
      </c>
      <c r="I114" s="40" t="s">
        <v>44</v>
      </c>
    </row>
    <row r="115" ht="15.75" customHeight="1">
      <c r="A115" s="36"/>
      <c r="B115" s="84" t="s">
        <v>127</v>
      </c>
      <c r="C115" s="4"/>
      <c r="D115" s="4"/>
      <c r="E115" s="4"/>
      <c r="F115" s="4"/>
      <c r="G115" s="5"/>
      <c r="H115" s="88" t="s">
        <v>44</v>
      </c>
      <c r="I115" s="40" t="s">
        <v>44</v>
      </c>
    </row>
    <row r="116" ht="15.0" customHeight="1">
      <c r="A116" s="36"/>
      <c r="B116" s="89" t="s">
        <v>128</v>
      </c>
      <c r="C116" s="4"/>
      <c r="D116" s="4"/>
      <c r="E116" s="4"/>
      <c r="F116" s="4"/>
      <c r="G116" s="5"/>
      <c r="H116" s="90">
        <v>0.03</v>
      </c>
      <c r="I116" s="37">
        <f t="shared" ref="I116:I117" si="3">ROUND(($I$113/(1-$H$123))*H116,2)</f>
        <v>124.57</v>
      </c>
    </row>
    <row r="117" ht="15.0" customHeight="1">
      <c r="A117" s="36"/>
      <c r="B117" s="89" t="s">
        <v>129</v>
      </c>
      <c r="C117" s="4"/>
      <c r="D117" s="4"/>
      <c r="E117" s="4"/>
      <c r="F117" s="4"/>
      <c r="G117" s="5"/>
      <c r="H117" s="90">
        <v>0.0065</v>
      </c>
      <c r="I117" s="37">
        <f t="shared" si="3"/>
        <v>26.99</v>
      </c>
    </row>
    <row r="118" ht="15.0" customHeight="1">
      <c r="A118" s="36"/>
      <c r="B118" s="7" t="s">
        <v>130</v>
      </c>
      <c r="C118" s="4"/>
      <c r="D118" s="4"/>
      <c r="E118" s="4"/>
      <c r="F118" s="4"/>
      <c r="G118" s="4"/>
      <c r="H118" s="91" t="s">
        <v>44</v>
      </c>
      <c r="I118" s="40" t="s">
        <v>44</v>
      </c>
    </row>
    <row r="119" ht="15.0" customHeight="1">
      <c r="A119" s="36"/>
      <c r="B119" s="7" t="s">
        <v>131</v>
      </c>
      <c r="C119" s="4"/>
      <c r="D119" s="4"/>
      <c r="E119" s="4"/>
      <c r="F119" s="4"/>
      <c r="G119" s="4"/>
      <c r="H119" s="91" t="s">
        <v>44</v>
      </c>
      <c r="I119" s="40" t="s">
        <v>44</v>
      </c>
    </row>
    <row r="120" ht="15.0" customHeight="1">
      <c r="A120" s="36"/>
      <c r="B120" s="89" t="s">
        <v>132</v>
      </c>
      <c r="C120" s="4"/>
      <c r="D120" s="4"/>
      <c r="E120" s="4"/>
      <c r="F120" s="4"/>
      <c r="G120" s="5"/>
      <c r="H120" s="90">
        <v>0.04</v>
      </c>
      <c r="I120" s="37">
        <f>ROUND(($I$113/(1-$H$123))*H120,2)</f>
        <v>166.09</v>
      </c>
    </row>
    <row r="121" ht="15.75" customHeight="1">
      <c r="A121" s="51" t="s">
        <v>80</v>
      </c>
      <c r="B121" s="4"/>
      <c r="C121" s="4"/>
      <c r="D121" s="4"/>
      <c r="E121" s="4"/>
      <c r="F121" s="4"/>
      <c r="G121" s="4"/>
      <c r="H121" s="5"/>
      <c r="I121" s="52">
        <f>SUM(I110+I112+I116+I117+I120)</f>
        <v>1158.34</v>
      </c>
    </row>
    <row r="122" ht="15.75" customHeight="1">
      <c r="A122" s="53"/>
      <c r="B122" s="4"/>
      <c r="C122" s="4"/>
      <c r="D122" s="4"/>
      <c r="E122" s="4"/>
      <c r="F122" s="4"/>
      <c r="G122" s="4"/>
      <c r="H122" s="4"/>
      <c r="I122" s="5"/>
    </row>
    <row r="123" ht="15.0" customHeight="1">
      <c r="A123" s="7" t="s">
        <v>133</v>
      </c>
      <c r="B123" s="4"/>
      <c r="C123" s="4"/>
      <c r="D123" s="4"/>
      <c r="E123" s="4"/>
      <c r="F123" s="4"/>
      <c r="G123" s="5"/>
      <c r="H123" s="61">
        <f t="shared" ref="H123:I123" si="4">SUM(H116:H120)</f>
        <v>0.0765</v>
      </c>
      <c r="I123" s="37">
        <f t="shared" si="4"/>
        <v>317.65</v>
      </c>
    </row>
    <row r="124" ht="15.75" customHeight="1">
      <c r="A124" s="92" t="s">
        <v>134</v>
      </c>
      <c r="C124" s="93" t="s">
        <v>135</v>
      </c>
    </row>
    <row r="125" ht="15.75" customHeight="1">
      <c r="A125" s="94"/>
      <c r="C125" s="95" t="s">
        <v>136</v>
      </c>
    </row>
    <row r="126" ht="15.75" customHeight="1">
      <c r="A126" s="96"/>
      <c r="B126" s="97"/>
      <c r="C126" s="98" t="s">
        <v>137</v>
      </c>
      <c r="D126" s="97"/>
      <c r="E126" s="97"/>
      <c r="F126" s="97"/>
      <c r="G126" s="97"/>
      <c r="H126" s="97"/>
      <c r="I126" s="97"/>
    </row>
    <row r="127" ht="15.75" customHeight="1">
      <c r="A127" s="53"/>
      <c r="B127" s="4"/>
      <c r="C127" s="4"/>
      <c r="D127" s="4"/>
      <c r="E127" s="4"/>
      <c r="F127" s="4"/>
      <c r="G127" s="4"/>
      <c r="H127" s="4"/>
      <c r="I127" s="5"/>
    </row>
    <row r="128" ht="28.5" customHeight="1">
      <c r="A128" s="7" t="s">
        <v>138</v>
      </c>
      <c r="B128" s="4"/>
      <c r="C128" s="4"/>
      <c r="D128" s="4"/>
      <c r="E128" s="4"/>
      <c r="F128" s="4"/>
      <c r="G128" s="4"/>
      <c r="H128" s="4"/>
      <c r="I128" s="5"/>
    </row>
    <row r="129" ht="15.75" customHeight="1">
      <c r="A129" s="53"/>
      <c r="B129" s="4"/>
      <c r="C129" s="4"/>
      <c r="D129" s="4"/>
      <c r="E129" s="4"/>
      <c r="F129" s="4"/>
      <c r="G129" s="4"/>
      <c r="H129" s="4"/>
      <c r="I129" s="5"/>
    </row>
    <row r="130" ht="15.0" customHeight="1">
      <c r="A130" s="99" t="s">
        <v>139</v>
      </c>
      <c r="B130" s="4"/>
      <c r="C130" s="4"/>
      <c r="D130" s="4"/>
      <c r="E130" s="4"/>
      <c r="F130" s="4"/>
      <c r="G130" s="4"/>
      <c r="H130" s="4"/>
      <c r="I130" s="5"/>
    </row>
    <row r="131" ht="15.0" customHeight="1">
      <c r="A131" s="23" t="s">
        <v>140</v>
      </c>
      <c r="B131" s="4"/>
      <c r="C131" s="4"/>
      <c r="D131" s="4"/>
      <c r="E131" s="4"/>
      <c r="F131" s="4"/>
      <c r="G131" s="4"/>
      <c r="H131" s="4"/>
      <c r="I131" s="100" t="s">
        <v>41</v>
      </c>
    </row>
    <row r="132" ht="15.0" customHeight="1">
      <c r="A132" s="101" t="s">
        <v>6</v>
      </c>
      <c r="B132" s="29" t="s">
        <v>141</v>
      </c>
      <c r="C132" s="4"/>
      <c r="D132" s="4"/>
      <c r="E132" s="4"/>
      <c r="F132" s="4"/>
      <c r="G132" s="4"/>
      <c r="H132" s="4"/>
      <c r="I132" s="47">
        <f>I26</f>
        <v>1381.63</v>
      </c>
    </row>
    <row r="133" ht="15.0" customHeight="1">
      <c r="A133" s="101" t="s">
        <v>9</v>
      </c>
      <c r="B133" s="29" t="s">
        <v>142</v>
      </c>
      <c r="C133" s="4"/>
      <c r="D133" s="4"/>
      <c r="E133" s="4"/>
      <c r="F133" s="4"/>
      <c r="G133" s="4"/>
      <c r="H133" s="4"/>
      <c r="I133" s="47">
        <f>I38</f>
        <v>477.9</v>
      </c>
    </row>
    <row r="134" ht="15.0" customHeight="1">
      <c r="A134" s="101" t="s">
        <v>12</v>
      </c>
      <c r="B134" s="29" t="s">
        <v>143</v>
      </c>
      <c r="C134" s="4"/>
      <c r="D134" s="4"/>
      <c r="E134" s="4"/>
      <c r="F134" s="4"/>
      <c r="G134" s="4"/>
      <c r="H134" s="4"/>
      <c r="I134" s="47">
        <f>I47</f>
        <v>97.1455</v>
      </c>
    </row>
    <row r="135" ht="15.0" customHeight="1">
      <c r="A135" s="101" t="s">
        <v>15</v>
      </c>
      <c r="B135" s="29" t="s">
        <v>112</v>
      </c>
      <c r="C135" s="4"/>
      <c r="D135" s="4"/>
      <c r="E135" s="4"/>
      <c r="F135" s="4"/>
      <c r="G135" s="4"/>
      <c r="H135" s="4"/>
      <c r="I135" s="47">
        <f>I106</f>
        <v>1037.17</v>
      </c>
    </row>
    <row r="136" ht="15.0" customHeight="1">
      <c r="A136" s="102" t="s">
        <v>144</v>
      </c>
      <c r="B136" s="4"/>
      <c r="C136" s="4"/>
      <c r="D136" s="4"/>
      <c r="E136" s="4"/>
      <c r="F136" s="4"/>
      <c r="G136" s="4"/>
      <c r="H136" s="4"/>
      <c r="I136" s="57">
        <f>SUM(I132:I135)</f>
        <v>2993.8455</v>
      </c>
    </row>
    <row r="137" ht="15.0" customHeight="1">
      <c r="A137" s="101" t="s">
        <v>50</v>
      </c>
      <c r="B137" s="29" t="s">
        <v>145</v>
      </c>
      <c r="C137" s="4"/>
      <c r="D137" s="4"/>
      <c r="E137" s="4"/>
      <c r="F137" s="4"/>
      <c r="G137" s="4"/>
      <c r="H137" s="4"/>
      <c r="I137" s="47">
        <f>I121</f>
        <v>1158.34</v>
      </c>
    </row>
    <row r="138" ht="15.0" customHeight="1">
      <c r="A138" s="102" t="s">
        <v>146</v>
      </c>
      <c r="B138" s="4"/>
      <c r="C138" s="4"/>
      <c r="D138" s="4"/>
      <c r="E138" s="4"/>
      <c r="F138" s="4"/>
      <c r="G138" s="4"/>
      <c r="H138" s="4"/>
      <c r="I138" s="57">
        <f>SUM(I136:I137)</f>
        <v>4152.1855</v>
      </c>
    </row>
    <row r="139" ht="15.75" customHeight="1">
      <c r="A139" s="103"/>
      <c r="B139" s="4"/>
      <c r="C139" s="4"/>
      <c r="D139" s="4"/>
      <c r="E139" s="4"/>
      <c r="F139" s="4"/>
      <c r="G139" s="4"/>
      <c r="H139" s="4"/>
      <c r="I139" s="5"/>
    </row>
    <row r="140" ht="15.75" customHeight="1">
      <c r="A140" s="53"/>
      <c r="B140" s="4"/>
      <c r="C140" s="4"/>
      <c r="D140" s="4"/>
      <c r="E140" s="4"/>
      <c r="F140" s="4"/>
      <c r="G140" s="4"/>
      <c r="H140" s="4"/>
      <c r="I140" s="5"/>
    </row>
    <row r="141" ht="18.0" customHeight="1">
      <c r="A141" s="104" t="s">
        <v>147</v>
      </c>
      <c r="B141" s="4"/>
      <c r="C141" s="4"/>
      <c r="D141" s="4"/>
      <c r="E141" s="4"/>
      <c r="F141" s="5"/>
      <c r="G141" s="105">
        <f>+I138*H150</f>
        <v>4152.1855</v>
      </c>
      <c r="H141" s="4"/>
      <c r="I141" s="5"/>
    </row>
    <row r="142" ht="15.75" customHeight="1">
      <c r="A142" s="53"/>
      <c r="B142" s="4"/>
      <c r="C142" s="4"/>
      <c r="D142" s="4"/>
      <c r="E142" s="4"/>
      <c r="F142" s="4"/>
      <c r="G142" s="4"/>
      <c r="H142" s="4"/>
      <c r="I142" s="5"/>
    </row>
    <row r="143" ht="18.0" customHeight="1">
      <c r="A143" s="104" t="s">
        <v>148</v>
      </c>
      <c r="B143" s="4"/>
      <c r="C143" s="4"/>
      <c r="D143" s="4"/>
      <c r="E143" s="4"/>
      <c r="F143" s="5"/>
      <c r="G143" s="106">
        <f>H9</f>
        <v>12</v>
      </c>
      <c r="H143" s="4"/>
      <c r="I143" s="5"/>
    </row>
    <row r="144" ht="15.75" customHeight="1">
      <c r="A144" s="53"/>
      <c r="B144" s="4"/>
      <c r="C144" s="4"/>
      <c r="D144" s="4"/>
      <c r="E144" s="4"/>
      <c r="F144" s="4"/>
      <c r="G144" s="4"/>
      <c r="H144" s="4"/>
      <c r="I144" s="5"/>
    </row>
    <row r="145" ht="35.25" customHeight="1">
      <c r="A145" s="104" t="s">
        <v>149</v>
      </c>
      <c r="B145" s="4"/>
      <c r="C145" s="4"/>
      <c r="D145" s="4"/>
      <c r="E145" s="4"/>
      <c r="F145" s="5"/>
      <c r="G145" s="107">
        <f>G141*G143</f>
        <v>49826.226</v>
      </c>
      <c r="H145" s="4"/>
      <c r="I145" s="5"/>
    </row>
    <row r="146" ht="15.75" customHeight="1">
      <c r="A146" s="53"/>
      <c r="B146" s="4"/>
      <c r="C146" s="4"/>
      <c r="D146" s="4"/>
      <c r="E146" s="4"/>
      <c r="F146" s="4"/>
      <c r="G146" s="4"/>
      <c r="H146" s="4"/>
      <c r="I146" s="5"/>
    </row>
    <row r="147" ht="15.75" customHeight="1">
      <c r="A147" s="108" t="s">
        <v>150</v>
      </c>
      <c r="B147" s="4"/>
      <c r="C147" s="4"/>
      <c r="D147" s="4"/>
      <c r="E147" s="4"/>
      <c r="F147" s="4"/>
      <c r="G147" s="4"/>
      <c r="H147" s="4"/>
      <c r="I147" s="5"/>
    </row>
    <row r="148" ht="15.0" customHeight="1">
      <c r="A148" s="109" t="s">
        <v>151</v>
      </c>
      <c r="B148" s="110"/>
      <c r="C148" s="110"/>
      <c r="D148" s="110"/>
      <c r="E148" s="110"/>
      <c r="F148" s="110"/>
      <c r="G148" s="111"/>
      <c r="H148" s="112" t="s">
        <v>152</v>
      </c>
      <c r="I148" s="111"/>
    </row>
    <row r="149" ht="15.75" customHeight="1">
      <c r="A149" s="96"/>
      <c r="B149" s="97"/>
      <c r="C149" s="97"/>
      <c r="D149" s="97"/>
      <c r="E149" s="97"/>
      <c r="F149" s="97"/>
      <c r="G149" s="113"/>
      <c r="H149" s="96"/>
      <c r="I149" s="113"/>
    </row>
    <row r="150" ht="15.75" customHeight="1">
      <c r="A150" s="114" t="s">
        <v>153</v>
      </c>
      <c r="B150" s="4"/>
      <c r="C150" s="4"/>
      <c r="D150" s="4"/>
      <c r="E150" s="4"/>
      <c r="F150" s="4"/>
      <c r="G150" s="5"/>
      <c r="H150" s="115">
        <v>1.0</v>
      </c>
      <c r="I150" s="5"/>
    </row>
    <row r="151" ht="15.75" customHeight="1">
      <c r="A151" s="116"/>
      <c r="B151" s="110"/>
      <c r="C151" s="110"/>
      <c r="D151" s="110"/>
      <c r="E151" s="110"/>
      <c r="F151" s="110"/>
      <c r="G151" s="110"/>
      <c r="H151" s="110"/>
      <c r="I151" s="111"/>
    </row>
    <row r="152" ht="15.75" customHeight="1">
      <c r="A152" s="96"/>
      <c r="B152" s="97"/>
      <c r="C152" s="97"/>
      <c r="D152" s="97"/>
      <c r="E152" s="97"/>
      <c r="F152" s="97"/>
      <c r="G152" s="97"/>
      <c r="H152" s="97"/>
      <c r="I152" s="113"/>
    </row>
  </sheetData>
  <mergeCells count="167">
    <mergeCell ref="A1:I1"/>
    <mergeCell ref="A2:E2"/>
    <mergeCell ref="F2:I2"/>
    <mergeCell ref="A3:E3"/>
    <mergeCell ref="F3:I3"/>
    <mergeCell ref="A4:I4"/>
    <mergeCell ref="A5:I5"/>
    <mergeCell ref="B6:G6"/>
    <mergeCell ref="H6:I6"/>
    <mergeCell ref="B7:G7"/>
    <mergeCell ref="H7:I7"/>
    <mergeCell ref="B8:G8"/>
    <mergeCell ref="H8:I8"/>
    <mergeCell ref="H9:I9"/>
    <mergeCell ref="B9:G9"/>
    <mergeCell ref="A10:I10"/>
    <mergeCell ref="A11:I11"/>
    <mergeCell ref="A12:I12"/>
    <mergeCell ref="B13:G13"/>
    <mergeCell ref="H13:I13"/>
    <mergeCell ref="H14:I14"/>
    <mergeCell ref="B14:G14"/>
    <mergeCell ref="B15:G15"/>
    <mergeCell ref="H15:I15"/>
    <mergeCell ref="B16:G16"/>
    <mergeCell ref="H16:I16"/>
    <mergeCell ref="B17:G17"/>
    <mergeCell ref="H17:I17"/>
    <mergeCell ref="A18:I18"/>
    <mergeCell ref="A19:I19"/>
    <mergeCell ref="A20:I20"/>
    <mergeCell ref="A21:I21"/>
    <mergeCell ref="B22:D22"/>
    <mergeCell ref="B23:D23"/>
    <mergeCell ref="B24:G24"/>
    <mergeCell ref="B25:H25"/>
    <mergeCell ref="A26:H26"/>
    <mergeCell ref="A27:I27"/>
    <mergeCell ref="B28:G28"/>
    <mergeCell ref="B29:H29"/>
    <mergeCell ref="B30:G30"/>
    <mergeCell ref="B31:G31"/>
    <mergeCell ref="B32:H32"/>
    <mergeCell ref="B33:G33"/>
    <mergeCell ref="B34:G34"/>
    <mergeCell ref="B35:G35"/>
    <mergeCell ref="B36:G36"/>
    <mergeCell ref="B37:G37"/>
    <mergeCell ref="B38:H38"/>
    <mergeCell ref="A39:I39"/>
    <mergeCell ref="A40:I40"/>
    <mergeCell ref="A41:I41"/>
    <mergeCell ref="A42:I42"/>
    <mergeCell ref="B43:G43"/>
    <mergeCell ref="B44:G44"/>
    <mergeCell ref="B45:G45"/>
    <mergeCell ref="B46:G46"/>
    <mergeCell ref="A47:H47"/>
    <mergeCell ref="A48:I48"/>
    <mergeCell ref="A49:I49"/>
    <mergeCell ref="A50:I50"/>
    <mergeCell ref="A51:I51"/>
    <mergeCell ref="A52:I52"/>
    <mergeCell ref="B53:G53"/>
    <mergeCell ref="B54:G54"/>
    <mergeCell ref="B55:G55"/>
    <mergeCell ref="B56:G56"/>
    <mergeCell ref="B57:G57"/>
    <mergeCell ref="B58:G58"/>
    <mergeCell ref="B59:G59"/>
    <mergeCell ref="B60:C60"/>
    <mergeCell ref="B61:G61"/>
    <mergeCell ref="A62:G62"/>
    <mergeCell ref="A63:I63"/>
    <mergeCell ref="A64:I64"/>
    <mergeCell ref="A65:I65"/>
    <mergeCell ref="A66:I66"/>
    <mergeCell ref="B67:H67"/>
    <mergeCell ref="B68:H68"/>
    <mergeCell ref="A69:H69"/>
    <mergeCell ref="B70:H70"/>
    <mergeCell ref="A71:H71"/>
    <mergeCell ref="A72:I72"/>
    <mergeCell ref="A73:I73"/>
    <mergeCell ref="B74:H74"/>
    <mergeCell ref="B75:H75"/>
    <mergeCell ref="B76:H76"/>
    <mergeCell ref="A77:H77"/>
    <mergeCell ref="A78:I78"/>
    <mergeCell ref="B79:H79"/>
    <mergeCell ref="B80:H80"/>
    <mergeCell ref="B81:H81"/>
    <mergeCell ref="B82:H82"/>
    <mergeCell ref="B83:H83"/>
    <mergeCell ref="B84:H84"/>
    <mergeCell ref="B85:H85"/>
    <mergeCell ref="A86:H86"/>
    <mergeCell ref="A87:I87"/>
    <mergeCell ref="A136:H136"/>
    <mergeCell ref="B137:H137"/>
    <mergeCell ref="A138:H138"/>
    <mergeCell ref="A139:I139"/>
    <mergeCell ref="A140:I140"/>
    <mergeCell ref="A141:F141"/>
    <mergeCell ref="G141:I141"/>
    <mergeCell ref="A147:I147"/>
    <mergeCell ref="A148:G149"/>
    <mergeCell ref="H148:I149"/>
    <mergeCell ref="A150:G150"/>
    <mergeCell ref="H150:I150"/>
    <mergeCell ref="A151:I152"/>
    <mergeCell ref="A142:I142"/>
    <mergeCell ref="A143:F143"/>
    <mergeCell ref="G143:I143"/>
    <mergeCell ref="A144:I144"/>
    <mergeCell ref="A145:F145"/>
    <mergeCell ref="G145:I145"/>
    <mergeCell ref="A146:I146"/>
    <mergeCell ref="B88:H88"/>
    <mergeCell ref="B89:H89"/>
    <mergeCell ref="B90:H90"/>
    <mergeCell ref="B91:H91"/>
    <mergeCell ref="B92:H92"/>
    <mergeCell ref="B93:H93"/>
    <mergeCell ref="B94:H94"/>
    <mergeCell ref="A95:H95"/>
    <mergeCell ref="B96:H96"/>
    <mergeCell ref="A97:H97"/>
    <mergeCell ref="A98:I98"/>
    <mergeCell ref="B99:H99"/>
    <mergeCell ref="B100:H100"/>
    <mergeCell ref="B101:H101"/>
    <mergeCell ref="B102:H102"/>
    <mergeCell ref="B103:H103"/>
    <mergeCell ref="B104:H104"/>
    <mergeCell ref="B105:H105"/>
    <mergeCell ref="A106:H106"/>
    <mergeCell ref="A107:I107"/>
    <mergeCell ref="B108:G108"/>
    <mergeCell ref="A109:G109"/>
    <mergeCell ref="B110:G110"/>
    <mergeCell ref="A111:G111"/>
    <mergeCell ref="B112:G112"/>
    <mergeCell ref="A113:G113"/>
    <mergeCell ref="B114:G114"/>
    <mergeCell ref="B115:G115"/>
    <mergeCell ref="B116:G116"/>
    <mergeCell ref="B117:G117"/>
    <mergeCell ref="B118:G118"/>
    <mergeCell ref="B119:G119"/>
    <mergeCell ref="B120:G120"/>
    <mergeCell ref="A121:H121"/>
    <mergeCell ref="A122:I122"/>
    <mergeCell ref="A123:G123"/>
    <mergeCell ref="A124:B126"/>
    <mergeCell ref="C124:I124"/>
    <mergeCell ref="C125:I125"/>
    <mergeCell ref="C126:I126"/>
    <mergeCell ref="A127:I127"/>
    <mergeCell ref="A128:I128"/>
    <mergeCell ref="A129:I129"/>
    <mergeCell ref="A130:I130"/>
    <mergeCell ref="A131:H131"/>
    <mergeCell ref="B132:H132"/>
    <mergeCell ref="B133:H133"/>
    <mergeCell ref="B134:H134"/>
    <mergeCell ref="B135:H135"/>
  </mergeCells>
  <printOptions/>
  <pageMargins bottom="0.7875" footer="0.0" header="0.0" left="0.511805555555555" right="0.511805555555555" top="0.7875"/>
  <pageSetup fitToHeight="0"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9.86"/>
    <col customWidth="1" min="3" max="3" width="9.29"/>
    <col customWidth="1" min="4" max="4" width="8.71"/>
    <col customWidth="1" min="5" max="5" width="16.86"/>
    <col customWidth="1" min="6" max="6" width="16.57"/>
    <col customWidth="1" min="7" max="7" width="17.71"/>
    <col customWidth="1" min="8" max="8" width="17.29"/>
    <col customWidth="1" min="9" max="9" width="18.14"/>
    <col customWidth="1" min="10" max="10" width="19.86"/>
    <col customWidth="1" min="11" max="11" width="14.71"/>
    <col customWidth="1" min="12" max="26" width="8.71"/>
  </cols>
  <sheetData>
    <row r="2" ht="15.75" customHeight="1">
      <c r="A2" s="117" t="s">
        <v>154</v>
      </c>
      <c r="B2" s="118"/>
      <c r="C2" s="118"/>
      <c r="D2" s="118"/>
      <c r="E2" s="118"/>
      <c r="F2" s="118"/>
      <c r="G2" s="118"/>
      <c r="H2" s="119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ht="15.75" customHeight="1">
      <c r="A3" s="121" t="s">
        <v>155</v>
      </c>
      <c r="H3" s="122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4" ht="15.75" customHeight="1">
      <c r="A4" s="123" t="s">
        <v>156</v>
      </c>
      <c r="H4" s="122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</row>
    <row r="5" ht="15.75" customHeight="1">
      <c r="A5" s="124" t="s">
        <v>157</v>
      </c>
      <c r="B5" s="125"/>
      <c r="C5" s="125"/>
      <c r="D5" s="125"/>
      <c r="E5" s="125"/>
      <c r="F5" s="125"/>
      <c r="G5" s="125"/>
      <c r="H5" s="126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</row>
    <row r="6" ht="48.75" customHeight="1">
      <c r="A6" s="127"/>
      <c r="B6" s="128"/>
      <c r="C6" s="129" t="s">
        <v>158</v>
      </c>
      <c r="D6" s="130" t="s">
        <v>159</v>
      </c>
      <c r="E6" s="131" t="s">
        <v>160</v>
      </c>
      <c r="F6" s="131" t="s">
        <v>161</v>
      </c>
      <c r="G6" s="131" t="s">
        <v>162</v>
      </c>
      <c r="H6" s="131" t="s">
        <v>163</v>
      </c>
      <c r="I6" s="131" t="s">
        <v>164</v>
      </c>
      <c r="J6" s="131" t="s">
        <v>165</v>
      </c>
      <c r="K6" s="132" t="s">
        <v>166</v>
      </c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</row>
    <row r="7" ht="15.75" customHeight="1">
      <c r="A7" s="134" t="s">
        <v>167</v>
      </c>
      <c r="B7" s="111"/>
      <c r="C7" s="135" t="s">
        <v>168</v>
      </c>
      <c r="D7" s="135">
        <v>1.0</v>
      </c>
      <c r="E7" s="136">
        <f>+'Oficial Manut.Predial'!I132</f>
        <v>1381.63</v>
      </c>
      <c r="F7" s="136">
        <f>+'Oficial Manut.Predial'!I133</f>
        <v>477.9</v>
      </c>
      <c r="G7" s="136">
        <f>+'Oficial Manut.Predial'!I134</f>
        <v>97.1455</v>
      </c>
      <c r="H7" s="136">
        <f>+'Oficial Manut.Predial'!I135</f>
        <v>1037.17</v>
      </c>
      <c r="I7" s="136">
        <f>+'Oficial Manut.Predial'!I137</f>
        <v>1158.34</v>
      </c>
      <c r="J7" s="136">
        <f>+I7+H7+G7+F7+E7</f>
        <v>4152.1855</v>
      </c>
      <c r="K7" s="137">
        <f>+J7*D7</f>
        <v>4152.1855</v>
      </c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</row>
    <row r="8">
      <c r="A8" s="138"/>
      <c r="B8" s="113"/>
      <c r="C8" s="139"/>
      <c r="D8" s="139"/>
      <c r="E8" s="139"/>
      <c r="F8" s="139"/>
      <c r="G8" s="139"/>
      <c r="H8" s="139"/>
      <c r="I8" s="139"/>
      <c r="J8" s="139"/>
      <c r="K8" s="140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</row>
    <row r="9" ht="22.5" customHeight="1">
      <c r="A9" s="141" t="s">
        <v>169</v>
      </c>
      <c r="B9" s="142"/>
      <c r="C9" s="142"/>
      <c r="D9" s="142"/>
      <c r="E9" s="142"/>
      <c r="F9" s="142"/>
      <c r="G9" s="142"/>
      <c r="H9" s="142"/>
      <c r="I9" s="142"/>
      <c r="J9" s="143"/>
      <c r="K9" s="144">
        <f>SUM(K7:K8)</f>
        <v>4152.1855</v>
      </c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</row>
    <row r="10" ht="11.25" customHeight="1">
      <c r="A10" s="145"/>
      <c r="B10" s="145"/>
      <c r="C10" s="145"/>
      <c r="D10" s="145"/>
      <c r="E10" s="145"/>
      <c r="F10" s="145"/>
      <c r="G10" s="145"/>
      <c r="H10" s="145"/>
      <c r="I10" s="145"/>
      <c r="J10" s="146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</row>
    <row r="11" ht="44.25" customHeight="1">
      <c r="A11" s="147" t="s">
        <v>170</v>
      </c>
      <c r="B11" s="148" t="s">
        <v>171</v>
      </c>
      <c r="C11" s="148" t="s">
        <v>172</v>
      </c>
      <c r="D11" s="148" t="s">
        <v>173</v>
      </c>
      <c r="E11" s="131" t="s">
        <v>160</v>
      </c>
      <c r="F11" s="131" t="s">
        <v>161</v>
      </c>
      <c r="G11" s="131" t="s">
        <v>162</v>
      </c>
      <c r="H11" s="131" t="s">
        <v>163</v>
      </c>
      <c r="I11" s="131" t="s">
        <v>164</v>
      </c>
      <c r="J11" s="132" t="s">
        <v>166</v>
      </c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</row>
    <row r="12">
      <c r="A12" s="149">
        <v>1.0</v>
      </c>
      <c r="B12" s="150" t="s">
        <v>167</v>
      </c>
      <c r="C12" s="151">
        <v>200.0</v>
      </c>
      <c r="D12" s="151">
        <v>1.0</v>
      </c>
      <c r="E12" s="152">
        <f t="shared" ref="E12:I12" si="1">+E7*$D12</f>
        <v>1381.63</v>
      </c>
      <c r="F12" s="152">
        <f t="shared" si="1"/>
        <v>477.9</v>
      </c>
      <c r="G12" s="152">
        <f t="shared" si="1"/>
        <v>97.1455</v>
      </c>
      <c r="H12" s="152">
        <f t="shared" si="1"/>
        <v>1037.17</v>
      </c>
      <c r="I12" s="152">
        <f t="shared" si="1"/>
        <v>1158.34</v>
      </c>
      <c r="J12" s="152">
        <f>+I12+H12+G12+F12+E12</f>
        <v>4152.1855</v>
      </c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</row>
    <row r="13" ht="21.0" customHeight="1">
      <c r="A13" s="153"/>
      <c r="B13" s="154" t="s">
        <v>174</v>
      </c>
      <c r="C13" s="155"/>
      <c r="D13" s="156">
        <f t="shared" ref="D13:J13" si="2">SUM(D12)</f>
        <v>1</v>
      </c>
      <c r="E13" s="157">
        <f t="shared" si="2"/>
        <v>1381.63</v>
      </c>
      <c r="F13" s="157">
        <f t="shared" si="2"/>
        <v>477.9</v>
      </c>
      <c r="G13" s="157">
        <f t="shared" si="2"/>
        <v>97.1455</v>
      </c>
      <c r="H13" s="157">
        <f t="shared" si="2"/>
        <v>1037.17</v>
      </c>
      <c r="I13" s="157">
        <f t="shared" si="2"/>
        <v>1158.34</v>
      </c>
      <c r="J13" s="157">
        <f t="shared" si="2"/>
        <v>4152.1855</v>
      </c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</row>
    <row r="15" ht="21.0" customHeight="1">
      <c r="A15" s="158" t="s">
        <v>175</v>
      </c>
      <c r="B15" s="4"/>
      <c r="C15" s="4"/>
      <c r="D15" s="4"/>
      <c r="E15" s="4"/>
      <c r="F15" s="4"/>
      <c r="G15" s="4"/>
      <c r="H15" s="4"/>
      <c r="I15" s="5"/>
    </row>
    <row r="16" ht="55.5" customHeight="1">
      <c r="A16" s="159" t="s">
        <v>176</v>
      </c>
      <c r="B16" s="4"/>
      <c r="C16" s="4"/>
      <c r="D16" s="4"/>
      <c r="E16" s="4"/>
      <c r="F16" s="5"/>
      <c r="G16" s="160" t="s">
        <v>177</v>
      </c>
      <c r="H16" s="160" t="s">
        <v>178</v>
      </c>
      <c r="I16" s="160" t="s">
        <v>147</v>
      </c>
    </row>
    <row r="17" ht="15.75" customHeight="1">
      <c r="A17" s="161" t="s">
        <v>179</v>
      </c>
      <c r="B17" s="4"/>
      <c r="C17" s="4"/>
      <c r="D17" s="4"/>
      <c r="E17" s="4"/>
      <c r="F17" s="5"/>
      <c r="G17" s="162">
        <f>+J7</f>
        <v>4152.1855</v>
      </c>
      <c r="H17" s="160">
        <v>1.0</v>
      </c>
      <c r="I17" s="163">
        <f>G17*H17</f>
        <v>4152.1855</v>
      </c>
    </row>
    <row r="18" ht="18.75" customHeight="1">
      <c r="A18" s="164" t="s">
        <v>180</v>
      </c>
      <c r="B18" s="4"/>
      <c r="C18" s="4"/>
      <c r="D18" s="4"/>
      <c r="E18" s="4"/>
      <c r="F18" s="4"/>
      <c r="G18" s="4"/>
      <c r="H18" s="5"/>
      <c r="I18" s="165">
        <f>SUM(I17)</f>
        <v>4152.1855</v>
      </c>
    </row>
  </sheetData>
  <mergeCells count="21">
    <mergeCell ref="D7:D8"/>
    <mergeCell ref="E7:E8"/>
    <mergeCell ref="B13:C13"/>
    <mergeCell ref="A15:I15"/>
    <mergeCell ref="A16:F16"/>
    <mergeCell ref="A17:F17"/>
    <mergeCell ref="A18:H18"/>
    <mergeCell ref="F7:F8"/>
    <mergeCell ref="G7:G8"/>
    <mergeCell ref="I7:I8"/>
    <mergeCell ref="J7:J8"/>
    <mergeCell ref="K7:K8"/>
    <mergeCell ref="A9:J9"/>
    <mergeCell ref="A2:H2"/>
    <mergeCell ref="A3:H3"/>
    <mergeCell ref="A4:H4"/>
    <mergeCell ref="A5:H5"/>
    <mergeCell ref="A6:B6"/>
    <mergeCell ref="A7:B8"/>
    <mergeCell ref="C7:C8"/>
    <mergeCell ref="H7:H8"/>
  </mergeCells>
  <printOptions/>
  <pageMargins bottom="0.7875" footer="0.0" header="0.0" left="0.511805555555555" right="0.511805555555555" top="0.7875"/>
  <pageSetup paperSize="9" scale="8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49.86"/>
    <col customWidth="1" min="3" max="3" width="18.86"/>
    <col customWidth="1" min="4" max="4" width="14.57"/>
    <col customWidth="1" min="5" max="5" width="18.29"/>
    <col customWidth="1" min="6" max="6" width="15.57"/>
    <col customWidth="1" min="7" max="7" width="9.57"/>
    <col customWidth="1" min="8" max="16" width="8.71"/>
  </cols>
  <sheetData>
    <row r="1">
      <c r="A1" s="166"/>
    </row>
    <row r="2">
      <c r="A2" s="167" t="s">
        <v>181</v>
      </c>
      <c r="B2" s="168"/>
      <c r="C2" s="168"/>
      <c r="D2" s="168"/>
      <c r="E2" s="168"/>
      <c r="F2" s="169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ht="33.0" customHeight="1">
      <c r="A3" s="171" t="s">
        <v>182</v>
      </c>
      <c r="B3" s="172"/>
      <c r="C3" s="172"/>
      <c r="D3" s="172"/>
      <c r="E3" s="172"/>
      <c r="F3" s="173"/>
      <c r="G3" s="170"/>
      <c r="H3" s="170"/>
      <c r="I3" s="170"/>
      <c r="J3" s="170"/>
      <c r="K3" s="170"/>
      <c r="L3" s="170"/>
      <c r="M3" s="170"/>
      <c r="N3" s="170"/>
      <c r="O3" s="170"/>
      <c r="P3" s="170"/>
    </row>
    <row r="4">
      <c r="A4" s="166"/>
    </row>
    <row r="5">
      <c r="A5" s="174" t="s">
        <v>183</v>
      </c>
    </row>
    <row r="6">
      <c r="A6" s="174" t="s">
        <v>184</v>
      </c>
    </row>
    <row r="7">
      <c r="A7" s="174" t="s">
        <v>185</v>
      </c>
    </row>
    <row r="8">
      <c r="A8" s="174" t="s">
        <v>186</v>
      </c>
    </row>
    <row r="9">
      <c r="A9" s="175"/>
    </row>
    <row r="10">
      <c r="A10" s="176" t="s">
        <v>187</v>
      </c>
      <c r="B10" s="4"/>
      <c r="C10" s="4"/>
      <c r="D10" s="4"/>
      <c r="E10" s="4"/>
      <c r="F10" s="5"/>
    </row>
    <row r="11">
      <c r="A11" s="177"/>
    </row>
    <row r="12">
      <c r="A12" s="176" t="s">
        <v>188</v>
      </c>
      <c r="B12" s="4"/>
      <c r="C12" s="4"/>
      <c r="D12" s="4"/>
      <c r="E12" s="4"/>
      <c r="F12" s="5"/>
    </row>
    <row r="13" ht="31.5" customHeight="1">
      <c r="A13" s="178" t="s">
        <v>189</v>
      </c>
      <c r="B13" s="179" t="s">
        <v>190</v>
      </c>
      <c r="C13" s="179" t="s">
        <v>191</v>
      </c>
      <c r="D13" s="179" t="s">
        <v>192</v>
      </c>
      <c r="E13" s="179" t="s">
        <v>193</v>
      </c>
      <c r="F13" s="179" t="s">
        <v>194</v>
      </c>
    </row>
    <row r="14">
      <c r="A14" s="178">
        <v>2.0</v>
      </c>
      <c r="B14" s="180" t="s">
        <v>195</v>
      </c>
      <c r="C14" s="181">
        <v>50.0</v>
      </c>
      <c r="D14" s="182" t="s">
        <v>196</v>
      </c>
      <c r="E14" s="183">
        <f t="shared" ref="E14:E20" si="1">C14*A14</f>
        <v>100</v>
      </c>
      <c r="F14" s="183">
        <f t="shared" ref="F14:F20" si="2">E14/12</f>
        <v>8.333333333</v>
      </c>
    </row>
    <row r="15">
      <c r="A15" s="178">
        <v>2.0</v>
      </c>
      <c r="B15" s="180" t="s">
        <v>197</v>
      </c>
      <c r="C15" s="181">
        <v>20.0</v>
      </c>
      <c r="D15" s="182" t="s">
        <v>196</v>
      </c>
      <c r="E15" s="183">
        <f t="shared" si="1"/>
        <v>40</v>
      </c>
      <c r="F15" s="183">
        <f t="shared" si="2"/>
        <v>3.333333333</v>
      </c>
    </row>
    <row r="16">
      <c r="A16" s="178">
        <v>2.0</v>
      </c>
      <c r="B16" s="180" t="s">
        <v>198</v>
      </c>
      <c r="C16" s="181">
        <v>25.0</v>
      </c>
      <c r="D16" s="182" t="s">
        <v>196</v>
      </c>
      <c r="E16" s="183">
        <f t="shared" si="1"/>
        <v>50</v>
      </c>
      <c r="F16" s="183">
        <f t="shared" si="2"/>
        <v>4.166666667</v>
      </c>
    </row>
    <row r="17">
      <c r="A17" s="178">
        <v>2.0</v>
      </c>
      <c r="B17" s="180" t="s">
        <v>199</v>
      </c>
      <c r="C17" s="181">
        <v>50.0</v>
      </c>
      <c r="D17" s="182" t="s">
        <v>196</v>
      </c>
      <c r="E17" s="183">
        <f t="shared" si="1"/>
        <v>100</v>
      </c>
      <c r="F17" s="183">
        <f t="shared" si="2"/>
        <v>8.333333333</v>
      </c>
    </row>
    <row r="18" ht="25.5" customHeight="1">
      <c r="A18" s="184">
        <v>2.0</v>
      </c>
      <c r="B18" s="185" t="s">
        <v>200</v>
      </c>
      <c r="C18" s="186">
        <v>35.0</v>
      </c>
      <c r="D18" s="187" t="s">
        <v>196</v>
      </c>
      <c r="E18" s="188">
        <f t="shared" si="1"/>
        <v>70</v>
      </c>
      <c r="F18" s="183">
        <f t="shared" si="2"/>
        <v>5.833333333</v>
      </c>
    </row>
    <row r="19">
      <c r="A19" s="189">
        <v>2.0</v>
      </c>
      <c r="B19" s="190" t="s">
        <v>201</v>
      </c>
      <c r="C19" s="191">
        <v>10.0</v>
      </c>
      <c r="D19" s="192" t="s">
        <v>196</v>
      </c>
      <c r="E19" s="193">
        <f t="shared" si="1"/>
        <v>20</v>
      </c>
      <c r="F19" s="183">
        <f t="shared" si="2"/>
        <v>1.666666667</v>
      </c>
    </row>
    <row r="20">
      <c r="A20" s="189">
        <v>2.0</v>
      </c>
      <c r="B20" s="190" t="s">
        <v>202</v>
      </c>
      <c r="C20" s="191">
        <v>27.0</v>
      </c>
      <c r="D20" s="192" t="s">
        <v>196</v>
      </c>
      <c r="E20" s="193">
        <f t="shared" si="1"/>
        <v>54</v>
      </c>
      <c r="F20" s="183">
        <f t="shared" si="2"/>
        <v>4.5</v>
      </c>
    </row>
    <row r="21" ht="29.25" customHeight="1">
      <c r="A21" s="194" t="s">
        <v>203</v>
      </c>
      <c r="C21" s="122"/>
      <c r="D21" s="195" t="s">
        <v>204</v>
      </c>
      <c r="E21" s="122"/>
      <c r="F21" s="196">
        <f>SUM(F14:F19)</f>
        <v>31.66666667</v>
      </c>
    </row>
    <row r="22" ht="26.25" customHeight="1">
      <c r="C22" s="122"/>
      <c r="D22" s="197"/>
      <c r="E22" s="110"/>
      <c r="F22" s="198"/>
    </row>
    <row r="23" ht="30.0" customHeight="1">
      <c r="A23" s="177"/>
    </row>
    <row r="24" ht="26.25" customHeight="1">
      <c r="A24" s="199" t="s">
        <v>205</v>
      </c>
    </row>
    <row r="25" ht="15.75" customHeight="1">
      <c r="A25" s="200" t="s">
        <v>189</v>
      </c>
      <c r="B25" s="200" t="s">
        <v>190</v>
      </c>
      <c r="C25" s="200" t="s">
        <v>191</v>
      </c>
      <c r="D25" s="200" t="s">
        <v>192</v>
      </c>
      <c r="E25" s="200" t="s">
        <v>193</v>
      </c>
      <c r="F25" s="200" t="s">
        <v>194</v>
      </c>
    </row>
    <row r="26">
      <c r="A26" s="201">
        <v>1.0</v>
      </c>
      <c r="B26" s="202" t="s">
        <v>206</v>
      </c>
      <c r="C26" s="203">
        <v>22.89</v>
      </c>
      <c r="D26" s="204" t="s">
        <v>207</v>
      </c>
      <c r="E26" s="205">
        <f t="shared" ref="E26:E75" si="3">(C26*A26)/5</f>
        <v>4.578</v>
      </c>
      <c r="F26" s="205">
        <f t="shared" ref="F26:F75" si="4">E26/12</f>
        <v>0.3815</v>
      </c>
    </row>
    <row r="27">
      <c r="A27" s="206">
        <v>1.0</v>
      </c>
      <c r="B27" s="207" t="s">
        <v>208</v>
      </c>
      <c r="C27" s="208">
        <v>25.9</v>
      </c>
      <c r="D27" s="192" t="s">
        <v>207</v>
      </c>
      <c r="E27" s="205">
        <f t="shared" si="3"/>
        <v>5.18</v>
      </c>
      <c r="F27" s="205">
        <f t="shared" si="4"/>
        <v>0.4316666667</v>
      </c>
    </row>
    <row r="28">
      <c r="A28" s="206">
        <v>1.0</v>
      </c>
      <c r="B28" s="207" t="s">
        <v>209</v>
      </c>
      <c r="C28" s="208">
        <v>24.9</v>
      </c>
      <c r="D28" s="192" t="s">
        <v>207</v>
      </c>
      <c r="E28" s="205">
        <f t="shared" si="3"/>
        <v>4.98</v>
      </c>
      <c r="F28" s="205">
        <f t="shared" si="4"/>
        <v>0.415</v>
      </c>
    </row>
    <row r="29">
      <c r="A29" s="206">
        <v>1.0</v>
      </c>
      <c r="B29" s="207" t="s">
        <v>210</v>
      </c>
      <c r="C29" s="208">
        <v>23.18</v>
      </c>
      <c r="D29" s="192" t="s">
        <v>207</v>
      </c>
      <c r="E29" s="205">
        <f t="shared" si="3"/>
        <v>4.636</v>
      </c>
      <c r="F29" s="205">
        <f t="shared" si="4"/>
        <v>0.3863333333</v>
      </c>
    </row>
    <row r="30">
      <c r="A30" s="206">
        <v>1.0</v>
      </c>
      <c r="B30" s="207" t="s">
        <v>211</v>
      </c>
      <c r="C30" s="208">
        <v>19.99</v>
      </c>
      <c r="D30" s="192" t="s">
        <v>207</v>
      </c>
      <c r="E30" s="205">
        <f t="shared" si="3"/>
        <v>3.998</v>
      </c>
      <c r="F30" s="205">
        <f t="shared" si="4"/>
        <v>0.3331666667</v>
      </c>
    </row>
    <row r="31">
      <c r="A31" s="206">
        <v>1.0</v>
      </c>
      <c r="B31" s="207" t="s">
        <v>212</v>
      </c>
      <c r="C31" s="208">
        <v>199.99</v>
      </c>
      <c r="D31" s="192" t="s">
        <v>207</v>
      </c>
      <c r="E31" s="205">
        <f t="shared" si="3"/>
        <v>39.998</v>
      </c>
      <c r="F31" s="205">
        <f t="shared" si="4"/>
        <v>3.333166667</v>
      </c>
    </row>
    <row r="32">
      <c r="A32" s="206">
        <v>1.0</v>
      </c>
      <c r="B32" s="209" t="s">
        <v>213</v>
      </c>
      <c r="C32" s="208">
        <v>512.36</v>
      </c>
      <c r="D32" s="192" t="s">
        <v>207</v>
      </c>
      <c r="E32" s="205">
        <f t="shared" si="3"/>
        <v>102.472</v>
      </c>
      <c r="F32" s="205">
        <f t="shared" si="4"/>
        <v>8.539333333</v>
      </c>
    </row>
    <row r="33">
      <c r="A33" s="206">
        <v>1.0</v>
      </c>
      <c r="B33" s="210" t="s">
        <v>214</v>
      </c>
      <c r="C33" s="208">
        <v>16.06</v>
      </c>
      <c r="D33" s="192" t="s">
        <v>207</v>
      </c>
      <c r="E33" s="205">
        <f t="shared" si="3"/>
        <v>3.212</v>
      </c>
      <c r="F33" s="205">
        <f t="shared" si="4"/>
        <v>0.2676666667</v>
      </c>
    </row>
    <row r="34">
      <c r="A34" s="206">
        <v>1.0</v>
      </c>
      <c r="B34" s="207" t="s">
        <v>215</v>
      </c>
      <c r="C34" s="208">
        <v>38.24</v>
      </c>
      <c r="D34" s="192" t="s">
        <v>207</v>
      </c>
      <c r="E34" s="205">
        <f t="shared" si="3"/>
        <v>7.648</v>
      </c>
      <c r="F34" s="205">
        <f t="shared" si="4"/>
        <v>0.6373333333</v>
      </c>
    </row>
    <row r="35">
      <c r="A35" s="206">
        <v>1.0</v>
      </c>
      <c r="B35" s="211" t="s">
        <v>216</v>
      </c>
      <c r="C35" s="208">
        <v>27.3</v>
      </c>
      <c r="D35" s="192" t="s">
        <v>207</v>
      </c>
      <c r="E35" s="205">
        <f t="shared" si="3"/>
        <v>5.46</v>
      </c>
      <c r="F35" s="205">
        <f t="shared" si="4"/>
        <v>0.455</v>
      </c>
    </row>
    <row r="36">
      <c r="A36" s="206">
        <v>1.0</v>
      </c>
      <c r="B36" s="207" t="s">
        <v>217</v>
      </c>
      <c r="C36" s="208">
        <v>87.9</v>
      </c>
      <c r="D36" s="192" t="s">
        <v>207</v>
      </c>
      <c r="E36" s="205">
        <f t="shared" si="3"/>
        <v>17.58</v>
      </c>
      <c r="F36" s="205">
        <f t="shared" si="4"/>
        <v>1.465</v>
      </c>
    </row>
    <row r="37">
      <c r="A37" s="206">
        <v>1.0</v>
      </c>
      <c r="B37" s="207" t="s">
        <v>218</v>
      </c>
      <c r="C37" s="208">
        <v>43.31</v>
      </c>
      <c r="D37" s="192" t="s">
        <v>207</v>
      </c>
      <c r="E37" s="205">
        <f t="shared" si="3"/>
        <v>8.662</v>
      </c>
      <c r="F37" s="205">
        <f t="shared" si="4"/>
        <v>0.7218333333</v>
      </c>
    </row>
    <row r="38">
      <c r="A38" s="206">
        <v>1.0</v>
      </c>
      <c r="B38" s="207" t="s">
        <v>219</v>
      </c>
      <c r="C38" s="208">
        <v>38.59</v>
      </c>
      <c r="D38" s="192" t="s">
        <v>207</v>
      </c>
      <c r="E38" s="205">
        <f t="shared" si="3"/>
        <v>7.718</v>
      </c>
      <c r="F38" s="205">
        <f t="shared" si="4"/>
        <v>0.6431666667</v>
      </c>
    </row>
    <row r="39">
      <c r="A39" s="206">
        <v>1.0</v>
      </c>
      <c r="B39" s="211" t="s">
        <v>220</v>
      </c>
      <c r="C39" s="208">
        <v>4.7</v>
      </c>
      <c r="D39" s="192" t="s">
        <v>207</v>
      </c>
      <c r="E39" s="205">
        <f t="shared" si="3"/>
        <v>0.94</v>
      </c>
      <c r="F39" s="205">
        <f t="shared" si="4"/>
        <v>0.07833333333</v>
      </c>
    </row>
    <row r="40">
      <c r="A40" s="206">
        <v>1.0</v>
      </c>
      <c r="B40" s="207" t="s">
        <v>221</v>
      </c>
      <c r="C40" s="208">
        <v>17.89</v>
      </c>
      <c r="D40" s="192" t="s">
        <v>207</v>
      </c>
      <c r="E40" s="205">
        <f t="shared" si="3"/>
        <v>3.578</v>
      </c>
      <c r="F40" s="205">
        <f t="shared" si="4"/>
        <v>0.2981666667</v>
      </c>
    </row>
    <row r="41">
      <c r="A41" s="206">
        <v>1.0</v>
      </c>
      <c r="B41" s="207" t="s">
        <v>222</v>
      </c>
      <c r="C41" s="208">
        <v>240.34</v>
      </c>
      <c r="D41" s="192" t="s">
        <v>207</v>
      </c>
      <c r="E41" s="205">
        <f t="shared" si="3"/>
        <v>48.068</v>
      </c>
      <c r="F41" s="205">
        <f t="shared" si="4"/>
        <v>4.005666667</v>
      </c>
    </row>
    <row r="42">
      <c r="A42" s="206">
        <v>1.0</v>
      </c>
      <c r="B42" s="207" t="s">
        <v>223</v>
      </c>
      <c r="C42" s="212">
        <v>229.02</v>
      </c>
      <c r="D42" s="192" t="s">
        <v>207</v>
      </c>
      <c r="E42" s="205">
        <f t="shared" si="3"/>
        <v>45.804</v>
      </c>
      <c r="F42" s="205">
        <f t="shared" si="4"/>
        <v>3.817</v>
      </c>
    </row>
    <row r="43">
      <c r="A43" s="206">
        <v>1.0</v>
      </c>
      <c r="B43" s="211" t="s">
        <v>224</v>
      </c>
      <c r="C43" s="212">
        <v>18.38</v>
      </c>
      <c r="D43" s="192" t="s">
        <v>207</v>
      </c>
      <c r="E43" s="205">
        <f t="shared" si="3"/>
        <v>3.676</v>
      </c>
      <c r="F43" s="205">
        <f t="shared" si="4"/>
        <v>0.3063333333</v>
      </c>
    </row>
    <row r="44">
      <c r="A44" s="206">
        <v>1.0</v>
      </c>
      <c r="B44" s="207" t="s">
        <v>225</v>
      </c>
      <c r="C44" s="212">
        <v>189.9</v>
      </c>
      <c r="D44" s="192" t="s">
        <v>207</v>
      </c>
      <c r="E44" s="205">
        <f t="shared" si="3"/>
        <v>37.98</v>
      </c>
      <c r="F44" s="205">
        <f t="shared" si="4"/>
        <v>3.165</v>
      </c>
    </row>
    <row r="45">
      <c r="A45" s="206">
        <v>1.0</v>
      </c>
      <c r="B45" s="207" t="s">
        <v>226</v>
      </c>
      <c r="C45" s="208">
        <v>179.63</v>
      </c>
      <c r="D45" s="192" t="s">
        <v>207</v>
      </c>
      <c r="E45" s="205">
        <f t="shared" si="3"/>
        <v>35.926</v>
      </c>
      <c r="F45" s="205">
        <f t="shared" si="4"/>
        <v>2.993833333</v>
      </c>
    </row>
    <row r="46">
      <c r="A46" s="206">
        <v>1.0</v>
      </c>
      <c r="B46" s="207" t="s">
        <v>227</v>
      </c>
      <c r="C46" s="208">
        <v>8.5</v>
      </c>
      <c r="D46" s="192" t="s">
        <v>207</v>
      </c>
      <c r="E46" s="205">
        <f t="shared" si="3"/>
        <v>1.7</v>
      </c>
      <c r="F46" s="205">
        <f t="shared" si="4"/>
        <v>0.1416666667</v>
      </c>
    </row>
    <row r="47">
      <c r="A47" s="206">
        <v>1.0</v>
      </c>
      <c r="B47" s="211" t="s">
        <v>228</v>
      </c>
      <c r="C47" s="208">
        <v>17.9</v>
      </c>
      <c r="D47" s="192" t="s">
        <v>207</v>
      </c>
      <c r="E47" s="205">
        <f t="shared" si="3"/>
        <v>3.58</v>
      </c>
      <c r="F47" s="205">
        <f t="shared" si="4"/>
        <v>0.2983333333</v>
      </c>
      <c r="G47" s="213"/>
      <c r="H47" s="213"/>
      <c r="I47" s="213"/>
      <c r="J47" s="213"/>
      <c r="K47" s="213"/>
      <c r="L47" s="213"/>
      <c r="M47" s="213"/>
      <c r="N47" s="213"/>
      <c r="O47" s="213"/>
      <c r="P47" s="213"/>
    </row>
    <row r="48">
      <c r="A48" s="206">
        <v>1.0</v>
      </c>
      <c r="B48" s="211" t="s">
        <v>229</v>
      </c>
      <c r="C48" s="208">
        <v>6.75</v>
      </c>
      <c r="D48" s="192" t="s">
        <v>207</v>
      </c>
      <c r="E48" s="205">
        <f t="shared" si="3"/>
        <v>1.35</v>
      </c>
      <c r="F48" s="205">
        <f t="shared" si="4"/>
        <v>0.1125</v>
      </c>
      <c r="G48" s="213"/>
      <c r="H48" s="213"/>
      <c r="I48" s="213"/>
      <c r="J48" s="213"/>
      <c r="K48" s="213"/>
      <c r="L48" s="213"/>
      <c r="M48" s="213"/>
      <c r="N48" s="213"/>
      <c r="O48" s="213"/>
      <c r="P48" s="213"/>
    </row>
    <row r="49">
      <c r="A49" s="206">
        <v>1.0</v>
      </c>
      <c r="B49" s="207" t="s">
        <v>230</v>
      </c>
      <c r="C49" s="208">
        <v>43.31</v>
      </c>
      <c r="D49" s="192" t="s">
        <v>207</v>
      </c>
      <c r="E49" s="205">
        <f t="shared" si="3"/>
        <v>8.662</v>
      </c>
      <c r="F49" s="205">
        <f t="shared" si="4"/>
        <v>0.7218333333</v>
      </c>
      <c r="G49" s="213"/>
      <c r="H49" s="213"/>
      <c r="I49" s="213"/>
      <c r="J49" s="213"/>
      <c r="K49" s="213"/>
      <c r="L49" s="213"/>
      <c r="M49" s="213"/>
      <c r="N49" s="213"/>
      <c r="O49" s="213"/>
      <c r="P49" s="213"/>
    </row>
    <row r="50">
      <c r="A50" s="206">
        <v>1.0</v>
      </c>
      <c r="B50" s="211" t="s">
        <v>231</v>
      </c>
      <c r="C50" s="208">
        <v>229.0</v>
      </c>
      <c r="D50" s="192" t="s">
        <v>207</v>
      </c>
      <c r="E50" s="205">
        <f t="shared" si="3"/>
        <v>45.8</v>
      </c>
      <c r="F50" s="205">
        <f t="shared" si="4"/>
        <v>3.816666667</v>
      </c>
      <c r="G50" s="213"/>
      <c r="H50" s="213"/>
      <c r="I50" s="213"/>
      <c r="J50" s="213"/>
      <c r="K50" s="213"/>
      <c r="L50" s="213"/>
      <c r="M50" s="213"/>
      <c r="N50" s="213"/>
      <c r="O50" s="213"/>
      <c r="P50" s="213"/>
    </row>
    <row r="51">
      <c r="A51" s="206">
        <v>1.0</v>
      </c>
      <c r="B51" s="207" t="s">
        <v>232</v>
      </c>
      <c r="C51" s="208">
        <v>64.55</v>
      </c>
      <c r="D51" s="192" t="s">
        <v>207</v>
      </c>
      <c r="E51" s="205">
        <f t="shared" si="3"/>
        <v>12.91</v>
      </c>
      <c r="F51" s="205">
        <f t="shared" si="4"/>
        <v>1.075833333</v>
      </c>
      <c r="G51" s="213"/>
      <c r="H51" s="213"/>
      <c r="I51" s="213"/>
      <c r="J51" s="213"/>
      <c r="K51" s="213"/>
      <c r="L51" s="213"/>
      <c r="M51" s="213"/>
      <c r="N51" s="213"/>
      <c r="O51" s="213"/>
      <c r="P51" s="213"/>
    </row>
    <row r="52">
      <c r="A52" s="206">
        <v>1.0</v>
      </c>
      <c r="B52" s="207" t="s">
        <v>233</v>
      </c>
      <c r="C52" s="208">
        <v>63.7</v>
      </c>
      <c r="D52" s="192" t="s">
        <v>207</v>
      </c>
      <c r="E52" s="205">
        <f t="shared" si="3"/>
        <v>12.74</v>
      </c>
      <c r="F52" s="205">
        <f t="shared" si="4"/>
        <v>1.061666667</v>
      </c>
      <c r="G52" s="213"/>
      <c r="H52" s="213"/>
      <c r="I52" s="213"/>
      <c r="J52" s="213"/>
      <c r="K52" s="213"/>
      <c r="L52" s="213"/>
      <c r="M52" s="213"/>
      <c r="N52" s="213"/>
      <c r="O52" s="213"/>
      <c r="P52" s="213"/>
    </row>
    <row r="53">
      <c r="A53" s="206">
        <v>1.0</v>
      </c>
      <c r="B53" s="207" t="s">
        <v>234</v>
      </c>
      <c r="C53" s="208">
        <v>175.07</v>
      </c>
      <c r="D53" s="192" t="s">
        <v>207</v>
      </c>
      <c r="E53" s="205">
        <f t="shared" si="3"/>
        <v>35.014</v>
      </c>
      <c r="F53" s="205">
        <f t="shared" si="4"/>
        <v>2.917833333</v>
      </c>
      <c r="G53" s="213"/>
      <c r="H53" s="213"/>
      <c r="I53" s="213"/>
      <c r="J53" s="213"/>
      <c r="K53" s="213"/>
      <c r="L53" s="213"/>
      <c r="M53" s="213"/>
      <c r="N53" s="213"/>
      <c r="O53" s="213"/>
      <c r="P53" s="213"/>
    </row>
    <row r="54">
      <c r="A54" s="206">
        <v>1.0</v>
      </c>
      <c r="B54" s="211" t="s">
        <v>235</v>
      </c>
      <c r="C54" s="208">
        <v>64.9</v>
      </c>
      <c r="D54" s="192" t="s">
        <v>207</v>
      </c>
      <c r="E54" s="205">
        <f t="shared" si="3"/>
        <v>12.98</v>
      </c>
      <c r="F54" s="205">
        <f t="shared" si="4"/>
        <v>1.081666667</v>
      </c>
      <c r="G54" s="213"/>
      <c r="H54" s="213"/>
      <c r="I54" s="213"/>
      <c r="J54" s="213"/>
      <c r="K54" s="213"/>
      <c r="L54" s="213"/>
      <c r="M54" s="213"/>
      <c r="N54" s="213"/>
      <c r="O54" s="213"/>
      <c r="P54" s="213"/>
    </row>
    <row r="55">
      <c r="A55" s="206">
        <v>1.0</v>
      </c>
      <c r="B55" s="207" t="s">
        <v>236</v>
      </c>
      <c r="C55" s="208">
        <v>186.65</v>
      </c>
      <c r="D55" s="192" t="s">
        <v>207</v>
      </c>
      <c r="E55" s="205">
        <f t="shared" si="3"/>
        <v>37.33</v>
      </c>
      <c r="F55" s="205">
        <f t="shared" si="4"/>
        <v>3.110833333</v>
      </c>
      <c r="G55" s="213"/>
      <c r="H55" s="213"/>
      <c r="I55" s="213"/>
      <c r="J55" s="213"/>
      <c r="K55" s="213"/>
      <c r="L55" s="213"/>
      <c r="M55" s="213"/>
      <c r="N55" s="213"/>
      <c r="O55" s="213"/>
      <c r="P55" s="213"/>
    </row>
    <row r="56">
      <c r="A56" s="206">
        <v>1.0</v>
      </c>
      <c r="B56" s="207" t="s">
        <v>237</v>
      </c>
      <c r="C56" s="208">
        <v>148.5</v>
      </c>
      <c r="D56" s="192" t="s">
        <v>207</v>
      </c>
      <c r="E56" s="205">
        <f t="shared" si="3"/>
        <v>29.7</v>
      </c>
      <c r="F56" s="205">
        <f t="shared" si="4"/>
        <v>2.475</v>
      </c>
    </row>
    <row r="57">
      <c r="A57" s="206">
        <v>1.0</v>
      </c>
      <c r="B57" s="207" t="s">
        <v>238</v>
      </c>
      <c r="C57" s="208">
        <v>71.93</v>
      </c>
      <c r="D57" s="192" t="s">
        <v>207</v>
      </c>
      <c r="E57" s="205">
        <f t="shared" si="3"/>
        <v>14.386</v>
      </c>
      <c r="F57" s="205">
        <f t="shared" si="4"/>
        <v>1.198833333</v>
      </c>
    </row>
    <row r="58">
      <c r="A58" s="206">
        <v>1.0</v>
      </c>
      <c r="B58" s="207" t="s">
        <v>239</v>
      </c>
      <c r="C58" s="208">
        <v>61.5</v>
      </c>
      <c r="D58" s="192" t="s">
        <v>207</v>
      </c>
      <c r="E58" s="205">
        <f t="shared" si="3"/>
        <v>12.3</v>
      </c>
      <c r="F58" s="205">
        <f t="shared" si="4"/>
        <v>1.025</v>
      </c>
    </row>
    <row r="59">
      <c r="A59" s="206">
        <v>1.0</v>
      </c>
      <c r="B59" s="210" t="s">
        <v>240</v>
      </c>
      <c r="C59" s="208">
        <v>74.96</v>
      </c>
      <c r="D59" s="192" t="s">
        <v>207</v>
      </c>
      <c r="E59" s="205">
        <f t="shared" si="3"/>
        <v>14.992</v>
      </c>
      <c r="F59" s="205">
        <f t="shared" si="4"/>
        <v>1.249333333</v>
      </c>
    </row>
    <row r="60">
      <c r="A60" s="206">
        <v>1.0</v>
      </c>
      <c r="B60" s="211" t="s">
        <v>241</v>
      </c>
      <c r="C60" s="208">
        <v>37.5</v>
      </c>
      <c r="D60" s="192" t="s">
        <v>207</v>
      </c>
      <c r="E60" s="205">
        <f t="shared" si="3"/>
        <v>7.5</v>
      </c>
      <c r="F60" s="205">
        <f t="shared" si="4"/>
        <v>0.625</v>
      </c>
    </row>
    <row r="61">
      <c r="A61" s="206">
        <v>1.0</v>
      </c>
      <c r="B61" s="211" t="s">
        <v>242</v>
      </c>
      <c r="C61" s="208">
        <v>47.5</v>
      </c>
      <c r="D61" s="192" t="s">
        <v>207</v>
      </c>
      <c r="E61" s="205">
        <f t="shared" si="3"/>
        <v>9.5</v>
      </c>
      <c r="F61" s="205">
        <f t="shared" si="4"/>
        <v>0.7916666667</v>
      </c>
    </row>
    <row r="62">
      <c r="A62" s="206">
        <v>1.0</v>
      </c>
      <c r="B62" s="211" t="s">
        <v>243</v>
      </c>
      <c r="C62" s="208">
        <v>27.0</v>
      </c>
      <c r="D62" s="192" t="s">
        <v>207</v>
      </c>
      <c r="E62" s="205">
        <f t="shared" si="3"/>
        <v>5.4</v>
      </c>
      <c r="F62" s="205">
        <f t="shared" si="4"/>
        <v>0.45</v>
      </c>
    </row>
    <row r="63">
      <c r="A63" s="206">
        <v>1.0</v>
      </c>
      <c r="B63" s="211" t="s">
        <v>244</v>
      </c>
      <c r="C63" s="208">
        <v>12.9</v>
      </c>
      <c r="D63" s="192" t="s">
        <v>207</v>
      </c>
      <c r="E63" s="205">
        <f t="shared" si="3"/>
        <v>2.58</v>
      </c>
      <c r="F63" s="205">
        <f t="shared" si="4"/>
        <v>0.215</v>
      </c>
    </row>
    <row r="64">
      <c r="A64" s="206">
        <v>1.0</v>
      </c>
      <c r="B64" s="211" t="s">
        <v>245</v>
      </c>
      <c r="C64" s="208">
        <v>14.66</v>
      </c>
      <c r="D64" s="192" t="s">
        <v>207</v>
      </c>
      <c r="E64" s="205">
        <f t="shared" si="3"/>
        <v>2.932</v>
      </c>
      <c r="F64" s="205">
        <f t="shared" si="4"/>
        <v>0.2443333333</v>
      </c>
    </row>
    <row r="65">
      <c r="A65" s="206">
        <v>1.0</v>
      </c>
      <c r="B65" s="211" t="s">
        <v>246</v>
      </c>
      <c r="C65" s="208">
        <v>51.21</v>
      </c>
      <c r="D65" s="192" t="s">
        <v>207</v>
      </c>
      <c r="E65" s="205">
        <f t="shared" si="3"/>
        <v>10.242</v>
      </c>
      <c r="F65" s="205">
        <f t="shared" si="4"/>
        <v>0.8535</v>
      </c>
    </row>
    <row r="66">
      <c r="A66" s="206">
        <v>1.0</v>
      </c>
      <c r="B66" s="211" t="s">
        <v>247</v>
      </c>
      <c r="C66" s="208">
        <v>39.32</v>
      </c>
      <c r="D66" s="192" t="s">
        <v>207</v>
      </c>
      <c r="E66" s="205">
        <f t="shared" si="3"/>
        <v>7.864</v>
      </c>
      <c r="F66" s="205">
        <f t="shared" si="4"/>
        <v>0.6553333333</v>
      </c>
    </row>
    <row r="67">
      <c r="A67" s="206">
        <v>1.0</v>
      </c>
      <c r="B67" s="211" t="s">
        <v>248</v>
      </c>
      <c r="C67" s="208">
        <v>40.33</v>
      </c>
      <c r="D67" s="192" t="s">
        <v>207</v>
      </c>
      <c r="E67" s="205">
        <f t="shared" si="3"/>
        <v>8.066</v>
      </c>
      <c r="F67" s="205">
        <f t="shared" si="4"/>
        <v>0.6721666667</v>
      </c>
    </row>
    <row r="68">
      <c r="A68" s="206">
        <v>1.0</v>
      </c>
      <c r="B68" s="211" t="s">
        <v>249</v>
      </c>
      <c r="C68" s="208">
        <v>134.52</v>
      </c>
      <c r="D68" s="192" t="s">
        <v>207</v>
      </c>
      <c r="E68" s="205">
        <f t="shared" si="3"/>
        <v>26.904</v>
      </c>
      <c r="F68" s="205">
        <f t="shared" si="4"/>
        <v>2.242</v>
      </c>
    </row>
    <row r="69">
      <c r="A69" s="206">
        <v>1.0</v>
      </c>
      <c r="B69" s="211" t="s">
        <v>250</v>
      </c>
      <c r="C69" s="208">
        <v>99.13</v>
      </c>
      <c r="D69" s="192" t="s">
        <v>207</v>
      </c>
      <c r="E69" s="205">
        <f t="shared" si="3"/>
        <v>19.826</v>
      </c>
      <c r="F69" s="205">
        <f t="shared" si="4"/>
        <v>1.652166667</v>
      </c>
    </row>
    <row r="70">
      <c r="A70" s="206">
        <v>1.0</v>
      </c>
      <c r="B70" s="211" t="s">
        <v>251</v>
      </c>
      <c r="C70" s="208">
        <v>36.95</v>
      </c>
      <c r="D70" s="192" t="s">
        <v>207</v>
      </c>
      <c r="E70" s="205">
        <f t="shared" si="3"/>
        <v>7.39</v>
      </c>
      <c r="F70" s="205">
        <f t="shared" si="4"/>
        <v>0.6158333333</v>
      </c>
    </row>
    <row r="71">
      <c r="A71" s="206">
        <v>1.0</v>
      </c>
      <c r="B71" s="211" t="s">
        <v>252</v>
      </c>
      <c r="C71" s="208">
        <v>70.9</v>
      </c>
      <c r="D71" s="192" t="s">
        <v>207</v>
      </c>
      <c r="E71" s="205">
        <f t="shared" si="3"/>
        <v>14.18</v>
      </c>
      <c r="F71" s="205">
        <f t="shared" si="4"/>
        <v>1.181666667</v>
      </c>
    </row>
    <row r="72">
      <c r="A72" s="206">
        <v>1.0</v>
      </c>
      <c r="B72" s="211" t="s">
        <v>253</v>
      </c>
      <c r="C72" s="208">
        <v>35.2</v>
      </c>
      <c r="D72" s="192" t="s">
        <v>207</v>
      </c>
      <c r="E72" s="205">
        <f t="shared" si="3"/>
        <v>7.04</v>
      </c>
      <c r="F72" s="205">
        <f t="shared" si="4"/>
        <v>0.5866666667</v>
      </c>
    </row>
    <row r="73">
      <c r="A73" s="206">
        <v>1.0</v>
      </c>
      <c r="B73" s="211" t="s">
        <v>254</v>
      </c>
      <c r="C73" s="208">
        <v>36.48</v>
      </c>
      <c r="D73" s="192" t="s">
        <v>207</v>
      </c>
      <c r="E73" s="205">
        <f t="shared" si="3"/>
        <v>7.296</v>
      </c>
      <c r="F73" s="205">
        <f t="shared" si="4"/>
        <v>0.608</v>
      </c>
    </row>
    <row r="74">
      <c r="A74" s="206">
        <v>1.0</v>
      </c>
      <c r="B74" s="211" t="s">
        <v>255</v>
      </c>
      <c r="C74" s="208">
        <v>39.09</v>
      </c>
      <c r="D74" s="192" t="s">
        <v>207</v>
      </c>
      <c r="E74" s="205">
        <f t="shared" si="3"/>
        <v>7.818</v>
      </c>
      <c r="F74" s="205">
        <f t="shared" si="4"/>
        <v>0.6515</v>
      </c>
    </row>
    <row r="75">
      <c r="A75" s="206">
        <v>1.0</v>
      </c>
      <c r="B75" s="211" t="s">
        <v>256</v>
      </c>
      <c r="C75" s="208">
        <v>28.35</v>
      </c>
      <c r="D75" s="192" t="s">
        <v>207</v>
      </c>
      <c r="E75" s="205">
        <f t="shared" si="3"/>
        <v>5.67</v>
      </c>
      <c r="F75" s="205">
        <f t="shared" si="4"/>
        <v>0.4725</v>
      </c>
    </row>
    <row r="76">
      <c r="A76" s="214" t="s">
        <v>80</v>
      </c>
      <c r="B76" s="97"/>
      <c r="C76" s="97"/>
      <c r="D76" s="97"/>
      <c r="E76" s="113"/>
      <c r="F76" s="215">
        <f>SUM(F26:F75)</f>
        <v>65.47883333</v>
      </c>
    </row>
    <row r="77" ht="15.75" customHeight="1">
      <c r="C77" s="216"/>
    </row>
  </sheetData>
  <mergeCells count="16">
    <mergeCell ref="A2:F2"/>
    <mergeCell ref="A3:F3"/>
    <mergeCell ref="A5:F5"/>
    <mergeCell ref="A6:F6"/>
    <mergeCell ref="A7:F7"/>
    <mergeCell ref="A8:F8"/>
    <mergeCell ref="A9:F9"/>
    <mergeCell ref="D22:E22"/>
    <mergeCell ref="A76:E76"/>
    <mergeCell ref="A10:F10"/>
    <mergeCell ref="A11:F11"/>
    <mergeCell ref="A12:F12"/>
    <mergeCell ref="A21:C22"/>
    <mergeCell ref="D21:E21"/>
    <mergeCell ref="A23:F23"/>
    <mergeCell ref="A24:F24"/>
  </mergeCells>
  <printOptions/>
  <pageMargins bottom="0.7875" footer="0.0" header="0.0" left="0.315277777777778" right="0.315277777777778" top="0.7875"/>
  <pageSetup paperSize="9" scale="74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2016-08-22T17:41:37Z</dcterms:created>
  <dc:creator>Juliana Luizelli Alencastro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Tribunal de Contas do Estado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